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01ef5dd43e4a406/Desktop/système de retraite par capitalisation simplifiée/"/>
    </mc:Choice>
  </mc:AlternateContent>
  <xr:revisionPtr revIDLastSave="5" documentId="8_{0EB8B2C4-67AD-4E29-90C5-390E639E6099}" xr6:coauthVersionLast="47" xr6:coauthVersionMax="47" xr10:uidLastSave="{76F71F7C-EB1D-4498-BFD2-CCD9C6B64F62}"/>
  <workbookProtection workbookAlgorithmName="SHA-512" workbookHashValue="ha3nou0VFVY24meawDF4RblvQ/U6u5EYC3vT4th7qffGZw7OR5+quhXQXo5gH7ONu8lR+OkrYItj3rRnul6y5w==" workbookSaltValue="rCrRuxCsl/RMVYwtiO7QfQ==" workbookSpinCount="100000" lockStructure="1"/>
  <bookViews>
    <workbookView xWindow="-110" yWindow="-110" windowWidth="19420" windowHeight="10300" xr2:uid="{00000000-000D-0000-FFFF-FFFF00000000}"/>
  </bookViews>
  <sheets>
    <sheet name="Simulateur de retraite" sheetId="4" r:id="rId1"/>
    <sheet name="resume calculs" sheetId="2" state="hidden" r:id="rId2"/>
    <sheet name="Calculs" sheetId="3" state="hidden" r:id="rId3"/>
    <sheet name="Listes et paramètres" sheetId="1" state="hidden" r:id="rId4"/>
  </sheets>
  <definedNames>
    <definedName name="_xlchart.v1.0" hidden="1">'resume calculs'!$A$5:$A$11</definedName>
    <definedName name="_xlchart.v1.1" hidden="1">'resume calculs'!$B$5:$B$11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HtmPhiTv0NyOmi8nqqGth5LWvZZ/+WDDK8Dy/kQ8ls="/>
    </ext>
  </extLst>
</workbook>
</file>

<file path=xl/calcChain.xml><?xml version="1.0" encoding="utf-8"?>
<calcChain xmlns="http://schemas.openxmlformats.org/spreadsheetml/2006/main">
  <c r="B2" i="3" l="1"/>
  <c r="B28" i="4"/>
  <c r="B25" i="4"/>
  <c r="B16" i="4"/>
  <c r="B10" i="4"/>
  <c r="B18" i="4" l="1"/>
  <c r="B12" i="4"/>
  <c r="B14" i="4" s="1"/>
  <c r="F2" i="3"/>
  <c r="B42" i="4"/>
  <c r="C25" i="1"/>
  <c r="C26" i="1"/>
  <c r="C27" i="1"/>
  <c r="C28" i="1"/>
  <c r="C24" i="1"/>
  <c r="B46" i="4"/>
  <c r="B44" i="4"/>
  <c r="C2" i="3" l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16" i="1"/>
  <c r="B3" i="3" l="1"/>
  <c r="C3" i="3" s="1"/>
  <c r="F3" i="3" l="1"/>
  <c r="B4" i="3"/>
  <c r="C4" i="3" s="1"/>
  <c r="D2" i="3"/>
  <c r="E2" i="3"/>
  <c r="D3" i="3" l="1"/>
  <c r="G2" i="3"/>
  <c r="H2" i="3" s="1"/>
  <c r="F4" i="3"/>
  <c r="E4" i="3"/>
  <c r="E3" i="3"/>
  <c r="G3" i="3" s="1"/>
  <c r="B5" i="3"/>
  <c r="C5" i="3" s="1"/>
  <c r="J2" i="3" l="1"/>
  <c r="K2" i="3" s="1"/>
  <c r="F5" i="3"/>
  <c r="E5" i="3"/>
  <c r="I2" i="3"/>
  <c r="D4" i="3"/>
  <c r="G4" i="3" s="1"/>
  <c r="B6" i="3"/>
  <c r="C6" i="3" s="1"/>
  <c r="L2" i="3" l="1"/>
  <c r="M2" i="3" s="1"/>
  <c r="N2" i="3"/>
  <c r="H3" i="3"/>
  <c r="J3" i="3" s="1"/>
  <c r="E6" i="3"/>
  <c r="F6" i="3"/>
  <c r="D5" i="3"/>
  <c r="G5" i="3" s="1"/>
  <c r="B7" i="3"/>
  <c r="C7" i="3" s="1"/>
  <c r="I3" i="3" l="1"/>
  <c r="H4" i="3" s="1"/>
  <c r="J4" i="3" s="1"/>
  <c r="F7" i="3"/>
  <c r="D6" i="3"/>
  <c r="G6" i="3" s="1"/>
  <c r="B8" i="3"/>
  <c r="C8" i="3" s="1"/>
  <c r="L3" i="3" l="1"/>
  <c r="I4" i="3"/>
  <c r="L4" i="3"/>
  <c r="K3" i="3"/>
  <c r="N3" i="3"/>
  <c r="K4" i="3"/>
  <c r="N4" i="3"/>
  <c r="H5" i="3"/>
  <c r="F8" i="3"/>
  <c r="D7" i="3"/>
  <c r="E7" i="3"/>
  <c r="B9" i="3"/>
  <c r="C9" i="3" s="1"/>
  <c r="M3" i="3" l="1"/>
  <c r="M4" i="3"/>
  <c r="I5" i="3"/>
  <c r="H6" i="3" s="1"/>
  <c r="J6" i="3" s="1"/>
  <c r="J5" i="3"/>
  <c r="L5" i="3" s="1"/>
  <c r="F9" i="3"/>
  <c r="G7" i="3"/>
  <c r="B10" i="3"/>
  <c r="C10" i="3" s="1"/>
  <c r="D8" i="3"/>
  <c r="E8" i="3"/>
  <c r="I6" i="3" l="1"/>
  <c r="H7" i="3" s="1"/>
  <c r="K5" i="3"/>
  <c r="M5" i="3" s="1"/>
  <c r="N5" i="3"/>
  <c r="K6" i="3"/>
  <c r="N6" i="3"/>
  <c r="F10" i="3"/>
  <c r="B11" i="3"/>
  <c r="C11" i="3" s="1"/>
  <c r="E9" i="3"/>
  <c r="D9" i="3"/>
  <c r="G8" i="3"/>
  <c r="L6" i="3" l="1"/>
  <c r="M6" i="3" s="1"/>
  <c r="I7" i="3"/>
  <c r="J7" i="3"/>
  <c r="L7" i="3" s="1"/>
  <c r="H8" i="3"/>
  <c r="F11" i="3"/>
  <c r="E10" i="3"/>
  <c r="B12" i="3"/>
  <c r="C12" i="3" s="1"/>
  <c r="D10" i="3"/>
  <c r="G9" i="3"/>
  <c r="I8" i="3" l="1"/>
  <c r="J8" i="3"/>
  <c r="K7" i="3"/>
  <c r="M7" i="3" s="1"/>
  <c r="N7" i="3"/>
  <c r="H9" i="3"/>
  <c r="F12" i="3"/>
  <c r="G10" i="3"/>
  <c r="B13" i="3"/>
  <c r="C13" i="3" s="1"/>
  <c r="D11" i="3"/>
  <c r="E11" i="3"/>
  <c r="K8" i="3" l="1"/>
  <c r="N8" i="3"/>
  <c r="I9" i="3"/>
  <c r="H10" i="3" s="1"/>
  <c r="J9" i="3"/>
  <c r="L8" i="3"/>
  <c r="M8" i="3" s="1"/>
  <c r="F13" i="3"/>
  <c r="B14" i="3"/>
  <c r="C14" i="3" s="1"/>
  <c r="D12" i="3"/>
  <c r="E12" i="3"/>
  <c r="G11" i="3"/>
  <c r="J10" i="3" l="1"/>
  <c r="I10" i="3"/>
  <c r="K9" i="3"/>
  <c r="N9" i="3"/>
  <c r="L9" i="3"/>
  <c r="H11" i="3"/>
  <c r="J11" i="3" s="1"/>
  <c r="F14" i="3"/>
  <c r="D13" i="3"/>
  <c r="E13" i="3"/>
  <c r="G12" i="3"/>
  <c r="B15" i="3"/>
  <c r="C15" i="3" s="1"/>
  <c r="I11" i="3"/>
  <c r="L11" i="3" l="1"/>
  <c r="L10" i="3"/>
  <c r="M9" i="3"/>
  <c r="H12" i="3"/>
  <c r="J12" i="3" s="1"/>
  <c r="N12" i="3" s="1"/>
  <c r="K11" i="3"/>
  <c r="M11" i="3" s="1"/>
  <c r="N11" i="3"/>
  <c r="K10" i="3"/>
  <c r="N10" i="3"/>
  <c r="F15" i="3"/>
  <c r="G13" i="3"/>
  <c r="B16" i="3"/>
  <c r="C16" i="3" s="1"/>
  <c r="D14" i="3"/>
  <c r="E14" i="3"/>
  <c r="M10" i="3" l="1"/>
  <c r="I12" i="3"/>
  <c r="H13" i="3" s="1"/>
  <c r="J13" i="3" s="1"/>
  <c r="K12" i="3"/>
  <c r="L12" i="3"/>
  <c r="F16" i="3"/>
  <c r="D15" i="3"/>
  <c r="E15" i="3"/>
  <c r="B17" i="3"/>
  <c r="C17" i="3" s="1"/>
  <c r="G14" i="3"/>
  <c r="M12" i="3" l="1"/>
  <c r="I13" i="3"/>
  <c r="L13" i="3" s="1"/>
  <c r="K13" i="3"/>
  <c r="N13" i="3"/>
  <c r="F17" i="3"/>
  <c r="G15" i="3"/>
  <c r="D16" i="3"/>
  <c r="E16" i="3"/>
  <c r="B18" i="3"/>
  <c r="C18" i="3" s="1"/>
  <c r="H14" i="3" l="1"/>
  <c r="J14" i="3" s="1"/>
  <c r="K14" i="3" s="1"/>
  <c r="M13" i="3"/>
  <c r="I14" i="3"/>
  <c r="L14" i="3" s="1"/>
  <c r="F18" i="3"/>
  <c r="G16" i="3"/>
  <c r="E17" i="3"/>
  <c r="B19" i="3"/>
  <c r="C19" i="3" s="1"/>
  <c r="D17" i="3"/>
  <c r="N14" i="3" l="1"/>
  <c r="M14" i="3"/>
  <c r="H15" i="3"/>
  <c r="J15" i="3" s="1"/>
  <c r="N15" i="3" s="1"/>
  <c r="F19" i="3"/>
  <c r="B20" i="3"/>
  <c r="C20" i="3" s="1"/>
  <c r="D18" i="3"/>
  <c r="G17" i="3"/>
  <c r="E18" i="3"/>
  <c r="K15" i="3" l="1"/>
  <c r="I15" i="3"/>
  <c r="L15" i="3" s="1"/>
  <c r="H16" i="3"/>
  <c r="J16" i="3" s="1"/>
  <c r="M15" i="3"/>
  <c r="B21" i="3"/>
  <c r="C21" i="3" s="1"/>
  <c r="F20" i="3"/>
  <c r="G18" i="3"/>
  <c r="E19" i="3"/>
  <c r="D19" i="3"/>
  <c r="I16" i="3" l="1"/>
  <c r="H17" i="3" s="1"/>
  <c r="I17" i="3" s="1"/>
  <c r="H18" i="3" s="1"/>
  <c r="J17" i="3"/>
  <c r="B22" i="3"/>
  <c r="C22" i="3" s="1"/>
  <c r="K16" i="3"/>
  <c r="N16" i="3"/>
  <c r="L16" i="3"/>
  <c r="F21" i="3"/>
  <c r="E20" i="3"/>
  <c r="D20" i="3"/>
  <c r="G19" i="3"/>
  <c r="L17" i="3" l="1"/>
  <c r="M16" i="3"/>
  <c r="B23" i="3"/>
  <c r="C23" i="3" s="1"/>
  <c r="F22" i="3"/>
  <c r="K17" i="3"/>
  <c r="N17" i="3"/>
  <c r="I18" i="3"/>
  <c r="H19" i="3" s="1"/>
  <c r="J19" i="3" s="1"/>
  <c r="J18" i="3"/>
  <c r="E21" i="3"/>
  <c r="F23" i="3"/>
  <c r="D21" i="3"/>
  <c r="G20" i="3"/>
  <c r="B24" i="3"/>
  <c r="C24" i="3" s="1"/>
  <c r="E22" i="3"/>
  <c r="D22" i="3"/>
  <c r="M17" i="3" l="1"/>
  <c r="G21" i="3"/>
  <c r="K19" i="3"/>
  <c r="N19" i="3"/>
  <c r="L18" i="3"/>
  <c r="I19" i="3"/>
  <c r="L19" i="3" s="1"/>
  <c r="K18" i="3"/>
  <c r="N18" i="3"/>
  <c r="F24" i="3"/>
  <c r="G22" i="3"/>
  <c r="E23" i="3"/>
  <c r="D23" i="3"/>
  <c r="B25" i="3"/>
  <c r="C25" i="3" s="1"/>
  <c r="M19" i="3" l="1"/>
  <c r="H20" i="3"/>
  <c r="J20" i="3" s="1"/>
  <c r="N20" i="3" s="1"/>
  <c r="M18" i="3"/>
  <c r="F25" i="3"/>
  <c r="G23" i="3"/>
  <c r="E24" i="3"/>
  <c r="D24" i="3"/>
  <c r="B26" i="3"/>
  <c r="C26" i="3" s="1"/>
  <c r="K20" i="3" l="1"/>
  <c r="I20" i="3"/>
  <c r="F26" i="3"/>
  <c r="G24" i="3"/>
  <c r="B27" i="3"/>
  <c r="C27" i="3" s="1"/>
  <c r="E25" i="3"/>
  <c r="D25" i="3"/>
  <c r="L20" i="3" l="1"/>
  <c r="M20" i="3" s="1"/>
  <c r="H21" i="3"/>
  <c r="F27" i="3"/>
  <c r="G25" i="3"/>
  <c r="E26" i="3"/>
  <c r="D26" i="3"/>
  <c r="B28" i="3"/>
  <c r="C28" i="3" s="1"/>
  <c r="I21" i="3" l="1"/>
  <c r="H22" i="3" s="1"/>
  <c r="J21" i="3"/>
  <c r="F28" i="3"/>
  <c r="G26" i="3"/>
  <c r="B29" i="3"/>
  <c r="C29" i="3" s="1"/>
  <c r="E27" i="3"/>
  <c r="D27" i="3"/>
  <c r="L21" i="3" l="1"/>
  <c r="K21" i="3"/>
  <c r="M21" i="3" s="1"/>
  <c r="N21" i="3"/>
  <c r="I22" i="3"/>
  <c r="J22" i="3"/>
  <c r="F29" i="3"/>
  <c r="G27" i="3"/>
  <c r="E28" i="3"/>
  <c r="D28" i="3"/>
  <c r="B30" i="3"/>
  <c r="C30" i="3" s="1"/>
  <c r="H23" i="3" l="1"/>
  <c r="L22" i="3"/>
  <c r="K22" i="3"/>
  <c r="M22" i="3" s="1"/>
  <c r="N22" i="3"/>
  <c r="F30" i="3"/>
  <c r="G28" i="3"/>
  <c r="B31" i="3"/>
  <c r="C31" i="3" s="1"/>
  <c r="E29" i="3"/>
  <c r="D29" i="3"/>
  <c r="I23" i="3" l="1"/>
  <c r="J23" i="3"/>
  <c r="F31" i="3"/>
  <c r="G29" i="3"/>
  <c r="E30" i="3"/>
  <c r="D30" i="3"/>
  <c r="B32" i="3"/>
  <c r="C32" i="3" s="1"/>
  <c r="N23" i="3" l="1"/>
  <c r="K23" i="3"/>
  <c r="H24" i="3"/>
  <c r="L23" i="3"/>
  <c r="F32" i="3"/>
  <c r="G30" i="3"/>
  <c r="B33" i="3"/>
  <c r="C33" i="3" s="1"/>
  <c r="E31" i="3"/>
  <c r="D31" i="3"/>
  <c r="M23" i="3" l="1"/>
  <c r="I24" i="3"/>
  <c r="J24" i="3"/>
  <c r="F33" i="3"/>
  <c r="G31" i="3"/>
  <c r="E32" i="3"/>
  <c r="D32" i="3"/>
  <c r="B34" i="3"/>
  <c r="C34" i="3" s="1"/>
  <c r="K24" i="3" l="1"/>
  <c r="N24" i="3"/>
  <c r="H25" i="3"/>
  <c r="L24" i="3"/>
  <c r="F34" i="3"/>
  <c r="G32" i="3"/>
  <c r="E33" i="3"/>
  <c r="D33" i="3"/>
  <c r="B35" i="3"/>
  <c r="C35" i="3" s="1"/>
  <c r="J25" i="3" l="1"/>
  <c r="I25" i="3"/>
  <c r="M24" i="3"/>
  <c r="F35" i="3"/>
  <c r="G33" i="3"/>
  <c r="E34" i="3"/>
  <c r="D34" i="3"/>
  <c r="B36" i="3"/>
  <c r="C36" i="3" s="1"/>
  <c r="L25" i="3" l="1"/>
  <c r="H26" i="3"/>
  <c r="K25" i="3"/>
  <c r="M25" i="3" s="1"/>
  <c r="N25" i="3"/>
  <c r="F36" i="3"/>
  <c r="G34" i="3"/>
  <c r="B37" i="3"/>
  <c r="C37" i="3" s="1"/>
  <c r="E35" i="3"/>
  <c r="D35" i="3"/>
  <c r="J26" i="3" l="1"/>
  <c r="I26" i="3"/>
  <c r="H27" i="3" s="1"/>
  <c r="H37" i="3"/>
  <c r="J37" i="3" s="1"/>
  <c r="K37" i="3" s="1"/>
  <c r="F37" i="3"/>
  <c r="G35" i="3"/>
  <c r="E36" i="3"/>
  <c r="D36" i="3"/>
  <c r="B38" i="3"/>
  <c r="C38" i="3" s="1"/>
  <c r="J27" i="3" l="1"/>
  <c r="I27" i="3"/>
  <c r="L26" i="3"/>
  <c r="K26" i="3"/>
  <c r="N26" i="3"/>
  <c r="H38" i="3"/>
  <c r="J38" i="3" s="1"/>
  <c r="K38" i="3" s="1"/>
  <c r="F38" i="3"/>
  <c r="N37" i="3"/>
  <c r="G36" i="3"/>
  <c r="B39" i="3"/>
  <c r="C39" i="3" s="1"/>
  <c r="E37" i="3"/>
  <c r="D37" i="3"/>
  <c r="K27" i="3" l="1"/>
  <c r="N27" i="3"/>
  <c r="H28" i="3"/>
  <c r="L27" i="3"/>
  <c r="M26" i="3"/>
  <c r="H39" i="3"/>
  <c r="J39" i="3" s="1"/>
  <c r="K39" i="3" s="1"/>
  <c r="F39" i="3"/>
  <c r="N38" i="3"/>
  <c r="G37" i="3"/>
  <c r="E38" i="3"/>
  <c r="D38" i="3"/>
  <c r="B40" i="3"/>
  <c r="C40" i="3" s="1"/>
  <c r="J28" i="3" l="1"/>
  <c r="I28" i="3"/>
  <c r="M27" i="3"/>
  <c r="H40" i="3"/>
  <c r="J40" i="3" s="1"/>
  <c r="K40" i="3" s="1"/>
  <c r="F40" i="3"/>
  <c r="N39" i="3"/>
  <c r="G38" i="3"/>
  <c r="B41" i="3"/>
  <c r="C41" i="3" s="1"/>
  <c r="E39" i="3"/>
  <c r="D39" i="3"/>
  <c r="H29" i="3" l="1"/>
  <c r="L28" i="3"/>
  <c r="N28" i="3"/>
  <c r="K28" i="3"/>
  <c r="H41" i="3"/>
  <c r="J41" i="3" s="1"/>
  <c r="K41" i="3" s="1"/>
  <c r="F41" i="3"/>
  <c r="N40" i="3"/>
  <c r="G39" i="3"/>
  <c r="E40" i="3"/>
  <c r="D40" i="3"/>
  <c r="B42" i="3"/>
  <c r="C42" i="3" s="1"/>
  <c r="M28" i="3" l="1"/>
  <c r="J29" i="3"/>
  <c r="I29" i="3"/>
  <c r="H42" i="3"/>
  <c r="J42" i="3" s="1"/>
  <c r="K42" i="3" s="1"/>
  <c r="F42" i="3"/>
  <c r="N41" i="3"/>
  <c r="G40" i="3"/>
  <c r="B43" i="3"/>
  <c r="C43" i="3" s="1"/>
  <c r="E41" i="3"/>
  <c r="D41" i="3"/>
  <c r="H30" i="3" l="1"/>
  <c r="L29" i="3"/>
  <c r="K29" i="3"/>
  <c r="N29" i="3"/>
  <c r="H43" i="3"/>
  <c r="J43" i="3" s="1"/>
  <c r="K43" i="3" s="1"/>
  <c r="F43" i="3"/>
  <c r="N42" i="3"/>
  <c r="G41" i="3"/>
  <c r="E42" i="3"/>
  <c r="D42" i="3"/>
  <c r="B44" i="3"/>
  <c r="C44" i="3" s="1"/>
  <c r="M29" i="3" l="1"/>
  <c r="J30" i="3"/>
  <c r="I30" i="3"/>
  <c r="H44" i="3"/>
  <c r="J44" i="3" s="1"/>
  <c r="K44" i="3" s="1"/>
  <c r="F44" i="3"/>
  <c r="N43" i="3"/>
  <c r="G42" i="3"/>
  <c r="E43" i="3"/>
  <c r="D43" i="3"/>
  <c r="B45" i="3"/>
  <c r="C45" i="3" s="1"/>
  <c r="H31" i="3" l="1"/>
  <c r="L30" i="3"/>
  <c r="K30" i="3"/>
  <c r="N30" i="3"/>
  <c r="H45" i="3"/>
  <c r="J45" i="3" s="1"/>
  <c r="K45" i="3" s="1"/>
  <c r="F45" i="3"/>
  <c r="N44" i="3"/>
  <c r="G43" i="3"/>
  <c r="B46" i="3"/>
  <c r="C46" i="3" s="1"/>
  <c r="E44" i="3"/>
  <c r="D44" i="3"/>
  <c r="M30" i="3" l="1"/>
  <c r="J31" i="3"/>
  <c r="I31" i="3"/>
  <c r="H46" i="3"/>
  <c r="J46" i="3" s="1"/>
  <c r="K46" i="3" s="1"/>
  <c r="F46" i="3"/>
  <c r="N45" i="3"/>
  <c r="G44" i="3"/>
  <c r="E45" i="3"/>
  <c r="D45" i="3"/>
  <c r="B47" i="3"/>
  <c r="C47" i="3" s="1"/>
  <c r="H32" i="3" l="1"/>
  <c r="L31" i="3"/>
  <c r="K31" i="3"/>
  <c r="N31" i="3"/>
  <c r="F47" i="3"/>
  <c r="H47" i="3"/>
  <c r="J47" i="3" s="1"/>
  <c r="K47" i="3" s="1"/>
  <c r="N46" i="3"/>
  <c r="G45" i="3"/>
  <c r="B48" i="3"/>
  <c r="C48" i="3" s="1"/>
  <c r="E46" i="3"/>
  <c r="D46" i="3"/>
  <c r="M31" i="3" l="1"/>
  <c r="J32" i="3"/>
  <c r="I32" i="3"/>
  <c r="H48" i="3"/>
  <c r="J48" i="3" s="1"/>
  <c r="K48" i="3" s="1"/>
  <c r="F48" i="3"/>
  <c r="N47" i="3"/>
  <c r="G46" i="3"/>
  <c r="E47" i="3"/>
  <c r="D47" i="3"/>
  <c r="B49" i="3"/>
  <c r="C49" i="3" s="1"/>
  <c r="L32" i="3" l="1"/>
  <c r="H33" i="3"/>
  <c r="K32" i="3"/>
  <c r="N32" i="3"/>
  <c r="H49" i="3"/>
  <c r="J49" i="3" s="1"/>
  <c r="K49" i="3" s="1"/>
  <c r="F49" i="3"/>
  <c r="N48" i="3"/>
  <c r="G47" i="3"/>
  <c r="B50" i="3"/>
  <c r="C50" i="3" s="1"/>
  <c r="E48" i="3"/>
  <c r="D48" i="3"/>
  <c r="J33" i="3" l="1"/>
  <c r="I33" i="3"/>
  <c r="M32" i="3"/>
  <c r="H50" i="3"/>
  <c r="J50" i="3" s="1"/>
  <c r="K50" i="3" s="1"/>
  <c r="F50" i="3"/>
  <c r="N49" i="3"/>
  <c r="G48" i="3"/>
  <c r="E49" i="3"/>
  <c r="D49" i="3"/>
  <c r="B51" i="3"/>
  <c r="C51" i="3" s="1"/>
  <c r="L33" i="3" l="1"/>
  <c r="H34" i="3"/>
  <c r="K33" i="3"/>
  <c r="N33" i="3"/>
  <c r="H51" i="3"/>
  <c r="J51" i="3" s="1"/>
  <c r="K51" i="3" s="1"/>
  <c r="F51" i="3"/>
  <c r="N50" i="3"/>
  <c r="G49" i="3"/>
  <c r="E50" i="3"/>
  <c r="D50" i="3"/>
  <c r="B52" i="3"/>
  <c r="C52" i="3" s="1"/>
  <c r="J34" i="3" l="1"/>
  <c r="I34" i="3"/>
  <c r="M33" i="3"/>
  <c r="H52" i="3"/>
  <c r="J52" i="3" s="1"/>
  <c r="K52" i="3" s="1"/>
  <c r="F52" i="3"/>
  <c r="N51" i="3"/>
  <c r="G50" i="3"/>
  <c r="E51" i="3"/>
  <c r="D51" i="3"/>
  <c r="B53" i="3"/>
  <c r="C53" i="3" s="1"/>
  <c r="L34" i="3" l="1"/>
  <c r="H35" i="3"/>
  <c r="K34" i="3"/>
  <c r="N34" i="3"/>
  <c r="H53" i="3"/>
  <c r="J53" i="3" s="1"/>
  <c r="K53" i="3" s="1"/>
  <c r="F53" i="3"/>
  <c r="N52" i="3"/>
  <c r="G51" i="3"/>
  <c r="E52" i="3"/>
  <c r="D52" i="3"/>
  <c r="B54" i="3"/>
  <c r="C54" i="3" s="1"/>
  <c r="J35" i="3" l="1"/>
  <c r="I35" i="3"/>
  <c r="M34" i="3"/>
  <c r="H54" i="3"/>
  <c r="J54" i="3" s="1"/>
  <c r="K54" i="3" s="1"/>
  <c r="F54" i="3"/>
  <c r="N53" i="3"/>
  <c r="G52" i="3"/>
  <c r="B55" i="3"/>
  <c r="C55" i="3" s="1"/>
  <c r="E53" i="3"/>
  <c r="D53" i="3"/>
  <c r="K35" i="3" l="1"/>
  <c r="N35" i="3"/>
  <c r="H36" i="3"/>
  <c r="J36" i="3" s="1"/>
  <c r="L35" i="3"/>
  <c r="M35" i="3" s="1"/>
  <c r="H55" i="3"/>
  <c r="J55" i="3" s="1"/>
  <c r="K55" i="3" s="1"/>
  <c r="F55" i="3"/>
  <c r="N54" i="3"/>
  <c r="G53" i="3"/>
  <c r="E54" i="3"/>
  <c r="D54" i="3"/>
  <c r="B56" i="3"/>
  <c r="C56" i="3" s="1"/>
  <c r="K36" i="3" l="1"/>
  <c r="N36" i="3"/>
  <c r="I36" i="3"/>
  <c r="H56" i="3"/>
  <c r="J56" i="3" s="1"/>
  <c r="K56" i="3" s="1"/>
  <c r="F56" i="3"/>
  <c r="N55" i="3"/>
  <c r="G54" i="3"/>
  <c r="B57" i="3"/>
  <c r="C57" i="3" s="1"/>
  <c r="E55" i="3"/>
  <c r="D55" i="3"/>
  <c r="L36" i="3" l="1"/>
  <c r="M36" i="3" s="1"/>
  <c r="I37" i="3"/>
  <c r="H57" i="3"/>
  <c r="J57" i="3" s="1"/>
  <c r="K57" i="3" s="1"/>
  <c r="F57" i="3"/>
  <c r="N56" i="3"/>
  <c r="G55" i="3"/>
  <c r="E56" i="3"/>
  <c r="D56" i="3"/>
  <c r="B58" i="3"/>
  <c r="C58" i="3" s="1"/>
  <c r="L37" i="3" l="1"/>
  <c r="M37" i="3" s="1"/>
  <c r="I38" i="3"/>
  <c r="H58" i="3"/>
  <c r="J58" i="3" s="1"/>
  <c r="K58" i="3" s="1"/>
  <c r="F58" i="3"/>
  <c r="N57" i="3"/>
  <c r="G56" i="3"/>
  <c r="B59" i="3"/>
  <c r="C59" i="3" s="1"/>
  <c r="E57" i="3"/>
  <c r="D57" i="3"/>
  <c r="L38" i="3" l="1"/>
  <c r="M38" i="3" s="1"/>
  <c r="I39" i="3"/>
  <c r="H59" i="3"/>
  <c r="J59" i="3" s="1"/>
  <c r="K59" i="3" s="1"/>
  <c r="F59" i="3"/>
  <c r="N58" i="3"/>
  <c r="G57" i="3"/>
  <c r="E58" i="3"/>
  <c r="D58" i="3"/>
  <c r="B60" i="3"/>
  <c r="C60" i="3" s="1"/>
  <c r="L39" i="3" l="1"/>
  <c r="M39" i="3" s="1"/>
  <c r="I40" i="3"/>
  <c r="H60" i="3"/>
  <c r="J60" i="3" s="1"/>
  <c r="K60" i="3" s="1"/>
  <c r="F60" i="3"/>
  <c r="N59" i="3"/>
  <c r="G58" i="3"/>
  <c r="B61" i="3"/>
  <c r="C61" i="3" s="1"/>
  <c r="E59" i="3"/>
  <c r="D59" i="3"/>
  <c r="L40" i="3" l="1"/>
  <c r="M40" i="3" s="1"/>
  <c r="I41" i="3"/>
  <c r="F61" i="3"/>
  <c r="H61" i="3"/>
  <c r="J61" i="3" s="1"/>
  <c r="K61" i="3" s="1"/>
  <c r="N60" i="3"/>
  <c r="G59" i="3"/>
  <c r="E60" i="3"/>
  <c r="D60" i="3"/>
  <c r="B62" i="3"/>
  <c r="C62" i="3" s="1"/>
  <c r="L41" i="3" l="1"/>
  <c r="M41" i="3" s="1"/>
  <c r="I42" i="3"/>
  <c r="H62" i="3"/>
  <c r="J62" i="3" s="1"/>
  <c r="K62" i="3" s="1"/>
  <c r="F62" i="3"/>
  <c r="N61" i="3"/>
  <c r="G60" i="3"/>
  <c r="B63" i="3"/>
  <c r="C63" i="3" s="1"/>
  <c r="E61" i="3"/>
  <c r="D61" i="3"/>
  <c r="L42" i="3" l="1"/>
  <c r="M42" i="3" s="1"/>
  <c r="I43" i="3"/>
  <c r="F63" i="3"/>
  <c r="B8" i="2" s="1"/>
  <c r="H63" i="3"/>
  <c r="N62" i="3"/>
  <c r="G61" i="3"/>
  <c r="E62" i="3"/>
  <c r="D62" i="3"/>
  <c r="L43" i="3" l="1"/>
  <c r="M43" i="3" s="1"/>
  <c r="I44" i="3"/>
  <c r="B10" i="2"/>
  <c r="J63" i="3"/>
  <c r="H11" i="4"/>
  <c r="G62" i="3"/>
  <c r="E63" i="3"/>
  <c r="B7" i="2" s="1"/>
  <c r="G11" i="4" s="1"/>
  <c r="D63" i="3"/>
  <c r="B5" i="2"/>
  <c r="L44" i="3" l="1"/>
  <c r="M44" i="3" s="1"/>
  <c r="I45" i="3"/>
  <c r="K63" i="3"/>
  <c r="F9" i="2" s="1"/>
  <c r="H35" i="4" s="1"/>
  <c r="N63" i="3"/>
  <c r="G63" i="3"/>
  <c r="E11" i="4"/>
  <c r="B6" i="2"/>
  <c r="B9" i="2" s="1"/>
  <c r="L45" i="3" l="1"/>
  <c r="M45" i="3" s="1"/>
  <c r="I46" i="3"/>
  <c r="B11" i="2"/>
  <c r="F8" i="2"/>
  <c r="E35" i="4" s="1"/>
  <c r="F11" i="4"/>
  <c r="I11" i="4"/>
  <c r="L46" i="3" l="1"/>
  <c r="M46" i="3" s="1"/>
  <c r="I47" i="3"/>
  <c r="B16" i="2"/>
  <c r="B12" i="2"/>
  <c r="B13" i="2"/>
  <c r="G22" i="4" s="1"/>
  <c r="B15" i="2"/>
  <c r="I22" i="4" s="1"/>
  <c r="B14" i="2"/>
  <c r="E22" i="4"/>
  <c r="L47" i="3" l="1"/>
  <c r="M47" i="3" s="1"/>
  <c r="I48" i="3"/>
  <c r="F22" i="4"/>
  <c r="H22" i="4"/>
  <c r="L48" i="3" l="1"/>
  <c r="I49" i="3"/>
  <c r="L49" i="3" l="1"/>
  <c r="M49" i="3" s="1"/>
  <c r="I50" i="3"/>
  <c r="M48" i="3"/>
  <c r="L50" i="3" l="1"/>
  <c r="I51" i="3"/>
  <c r="L51" i="3" l="1"/>
  <c r="M51" i="3" s="1"/>
  <c r="I52" i="3"/>
  <c r="M50" i="3"/>
  <c r="L52" i="3" l="1"/>
  <c r="I53" i="3"/>
  <c r="L53" i="3" l="1"/>
  <c r="M53" i="3" s="1"/>
  <c r="I54" i="3"/>
  <c r="M52" i="3"/>
  <c r="L54" i="3" l="1"/>
  <c r="I55" i="3"/>
  <c r="L55" i="3" l="1"/>
  <c r="M55" i="3" s="1"/>
  <c r="I56" i="3"/>
  <c r="M54" i="3"/>
  <c r="L56" i="3" l="1"/>
  <c r="I57" i="3"/>
  <c r="L57" i="3" l="1"/>
  <c r="M57" i="3" s="1"/>
  <c r="I58" i="3"/>
  <c r="M56" i="3"/>
  <c r="L58" i="3" l="1"/>
  <c r="M58" i="3" s="1"/>
  <c r="I59" i="3"/>
  <c r="L59" i="3" l="1"/>
  <c r="M59" i="3" s="1"/>
  <c r="I60" i="3"/>
  <c r="L60" i="3" l="1"/>
  <c r="M60" i="3" s="1"/>
  <c r="I61" i="3"/>
  <c r="L61" i="3" l="1"/>
  <c r="M61" i="3" s="1"/>
  <c r="I62" i="3"/>
  <c r="L62" i="3" l="1"/>
  <c r="M62" i="3" s="1"/>
  <c r="I63" i="3"/>
  <c r="L63" i="3" s="1"/>
  <c r="M63" i="3" l="1"/>
  <c r="F11" i="2" s="1"/>
  <c r="F35" i="4" s="1"/>
  <c r="F10" i="2"/>
  <c r="G35" i="4" s="1"/>
</calcChain>
</file>

<file path=xl/sharedStrings.xml><?xml version="1.0" encoding="utf-8"?>
<sst xmlns="http://schemas.openxmlformats.org/spreadsheetml/2006/main" count="204" uniqueCount="134">
  <si>
    <t>Grade</t>
  </si>
  <si>
    <t>age de la retraite</t>
  </si>
  <si>
    <t>cotisation contractuelle</t>
  </si>
  <si>
    <t>conversion rente viagère</t>
  </si>
  <si>
    <t>conversion rente certaine 5 ans</t>
  </si>
  <si>
    <t>conversion rente certaine 10 ans</t>
  </si>
  <si>
    <t>conversion rente certaine 15 ans</t>
  </si>
  <si>
    <t>Paramètres du régime</t>
  </si>
  <si>
    <t>taux technique</t>
  </si>
  <si>
    <t>% frais de gestion</t>
  </si>
  <si>
    <t>% marge d'appel</t>
  </si>
  <si>
    <t>% investi</t>
  </si>
  <si>
    <t>Paramètres de la simulation</t>
  </si>
  <si>
    <t>Capital estimé à la retraite</t>
  </si>
  <si>
    <t>Rente mensuelle 5 ans</t>
  </si>
  <si>
    <t>Rente mensuelle 10 ans</t>
  </si>
  <si>
    <t>Rente mensuelle 15 ans</t>
  </si>
  <si>
    <t>Age d'adhésion</t>
  </si>
  <si>
    <t>Détail du calcul</t>
  </si>
  <si>
    <t>Calcul du capital</t>
  </si>
  <si>
    <t>Cotisations cumulées</t>
  </si>
  <si>
    <t>Cotisations cumulées nettes</t>
  </si>
  <si>
    <t>Intérets générées</t>
  </si>
  <si>
    <t>Capital à la retraite</t>
  </si>
  <si>
    <t>Pension mensuelle sur 5 ans</t>
  </si>
  <si>
    <t>Pension mensuelle sur 10 ans</t>
  </si>
  <si>
    <t>Pension mensuelle sur 15 ans</t>
  </si>
  <si>
    <t>Pension mensuelle à vie</t>
  </si>
  <si>
    <t>année</t>
  </si>
  <si>
    <t>age</t>
  </si>
  <si>
    <t>Cotisation</t>
  </si>
  <si>
    <t>frais de gestion</t>
  </si>
  <si>
    <t>cotisation nette</t>
  </si>
  <si>
    <t>intérets</t>
  </si>
  <si>
    <t>Capital</t>
  </si>
  <si>
    <t>Cotisations Cumulées</t>
  </si>
  <si>
    <t>Frais de gestion prélevées</t>
  </si>
  <si>
    <t>Contribution de solidarité</t>
  </si>
  <si>
    <t>Frais de gestion</t>
  </si>
  <si>
    <t>Taux de rendement espéré</t>
  </si>
  <si>
    <t>Cotisation mensuelle contractuelle</t>
  </si>
  <si>
    <t>MILITAIRE DU RANG</t>
  </si>
  <si>
    <t>OFFICIER SUPERIEUR</t>
  </si>
  <si>
    <t>Règles Contractuelles</t>
  </si>
  <si>
    <t>Taux de frais de gestion</t>
  </si>
  <si>
    <t>Simulateur de retraite par capitalisation</t>
  </si>
  <si>
    <t>Nombre d'années de service restant</t>
  </si>
  <si>
    <t>Taux de contribution au fond de pilotage</t>
  </si>
  <si>
    <t>Contribution au fond de pilotage</t>
  </si>
  <si>
    <t>Paramètres de la garantie DC</t>
  </si>
  <si>
    <t>Capital proposé</t>
  </si>
  <si>
    <t>Prime décès</t>
  </si>
  <si>
    <t>Prime à payer à l'assureur</t>
  </si>
  <si>
    <t>Capital Décès</t>
  </si>
  <si>
    <t>Age du décès</t>
  </si>
  <si>
    <t>L'adhérent décède avant la retraite</t>
  </si>
  <si>
    <t>Cotisations nettes</t>
  </si>
  <si>
    <t>Date décès</t>
  </si>
  <si>
    <t>Capital acquis décès</t>
  </si>
  <si>
    <t>Capital Total Décès</t>
  </si>
  <si>
    <t>Capital Garantie Décès</t>
  </si>
  <si>
    <t>Capital Retraite par Capitalisation</t>
  </si>
  <si>
    <t>Simulation décès avant la retraite</t>
  </si>
  <si>
    <t>Cotisation mensuelle volontaire additionnelle</t>
  </si>
  <si>
    <t>Souscription à la garantie Capital Décès</t>
  </si>
  <si>
    <t>cotisation cumulée à la date du décès</t>
  </si>
  <si>
    <t>Cotisation cum date décès</t>
  </si>
  <si>
    <t>Prélèvement Garantie Décès</t>
  </si>
  <si>
    <t>Capital Décès Supplémentaire Garanti</t>
  </si>
  <si>
    <t>conversion rente certaine 20 ans</t>
  </si>
  <si>
    <t>Pension mensuelle sur 20 ans</t>
  </si>
  <si>
    <t>Rente mensuelle 20 ans</t>
  </si>
  <si>
    <t>Prélèvement  Annuel Garantie Capital Décès</t>
  </si>
  <si>
    <t>Catégorie</t>
  </si>
  <si>
    <t>Caporal</t>
  </si>
  <si>
    <t>Général d'armée</t>
  </si>
  <si>
    <t>Général d'armée aérienne</t>
  </si>
  <si>
    <t>Amiral</t>
  </si>
  <si>
    <t>Général de corps d'armée</t>
  </si>
  <si>
    <t>Général de corps aérien</t>
  </si>
  <si>
    <t>Vice-amiral d'escadre</t>
  </si>
  <si>
    <t>Général de division</t>
  </si>
  <si>
    <t>Général de division aérienne</t>
  </si>
  <si>
    <t>Vice-amiral</t>
  </si>
  <si>
    <t>Général de brigade</t>
  </si>
  <si>
    <t>Général de brigade aérienne</t>
  </si>
  <si>
    <t>Informations par Catégorie</t>
  </si>
  <si>
    <t>Contre-Amiral</t>
  </si>
  <si>
    <t>Caporal-chef</t>
  </si>
  <si>
    <t>Age Retraite</t>
  </si>
  <si>
    <t>Simulation à la retraite</t>
  </si>
  <si>
    <t xml:space="preserve">Visualisation </t>
  </si>
  <si>
    <t>OFFICIER GENERAL</t>
  </si>
  <si>
    <t>OFFICIER SUBALTERNE</t>
  </si>
  <si>
    <t>Age de Retraite par Grade</t>
  </si>
  <si>
    <t xml:space="preserve">Soldat de 1°Classe </t>
  </si>
  <si>
    <t>Matelot de 1°Classe</t>
  </si>
  <si>
    <t>Sergent-chef</t>
  </si>
  <si>
    <t>SOUS-OFFICIER SUBALTERNE</t>
  </si>
  <si>
    <t>Sergent</t>
  </si>
  <si>
    <t xml:space="preserve">Maitre </t>
  </si>
  <si>
    <t>Adjudant-Major</t>
  </si>
  <si>
    <t>SOUS-OFFICIER SUPERIEUR</t>
  </si>
  <si>
    <t>Adjudant-chef</t>
  </si>
  <si>
    <t>Adjudant</t>
  </si>
  <si>
    <t>Maitre Principal</t>
  </si>
  <si>
    <t>Premier Maitre</t>
  </si>
  <si>
    <t>Capitaine</t>
  </si>
  <si>
    <t>Lieutenant</t>
  </si>
  <si>
    <t>Sous-lieutenant</t>
  </si>
  <si>
    <t>Colonel</t>
  </si>
  <si>
    <t>Lieutenant-colonel</t>
  </si>
  <si>
    <t>Commandant</t>
  </si>
  <si>
    <t>Général de Brigade</t>
  </si>
  <si>
    <t>Quartier- maître de 1ère Classe</t>
  </si>
  <si>
    <t>Contribution 
au fond de pilotage</t>
  </si>
  <si>
    <t>Prélèvement 
Garantie Décès</t>
  </si>
  <si>
    <t xml:space="preserve">Capital reçu au titre de la garantie Capital Décès </t>
  </si>
  <si>
    <t>Capital Acquis à la date de décès</t>
  </si>
  <si>
    <t>Capital Reçu par l'adhérent à la date du décès</t>
  </si>
  <si>
    <t>Cotisations Cumulées à la date du décès</t>
  </si>
  <si>
    <t xml:space="preserve">Quartier- maître de 2èmeClasse </t>
  </si>
  <si>
    <t>Second - maître</t>
  </si>
  <si>
    <t>Lieutenant deVaisseau</t>
  </si>
  <si>
    <t xml:space="preserve">Enseigne deVaisseau 1iere Classe </t>
  </si>
  <si>
    <t xml:space="preserve">Enseigne deVaisseau2èmeClasse </t>
  </si>
  <si>
    <t xml:space="preserve">Capitaine de Vaisseau </t>
  </si>
  <si>
    <t xml:space="preserve">Capitaine de Frégate </t>
  </si>
  <si>
    <t xml:space="preserve">Capitaine de Corvette </t>
  </si>
  <si>
    <t>Age de disponibilité du capital</t>
  </si>
  <si>
    <t>Age retraite</t>
  </si>
  <si>
    <t>Non</t>
  </si>
  <si>
    <t>Cotisation mensuelle de rattrapage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</si>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</sst>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"/>
    <numFmt numFmtId="165" formatCode="_-* #,##0.00\ _€_-;\-* #,##0.00\ _€_-;_-* &quot;-&quot;??\ _€_-;_-@"/>
    <numFmt numFmtId="166" formatCode="0.0%"/>
    <numFmt numFmtId="167" formatCode="_-* #,##0\ [$CFA-280C]_-;\-* #,##0\ [$CFA-280C]_-;_-* &quot;-&quot;\ [$CFA-280C]_-;_-@_-"/>
    <numFmt numFmtId="168" formatCode="_-* #,##0_-;\-* #,##0_-;_-* &quot;-&quot;??_-;_-@_-"/>
  </numFmts>
  <fonts count="27">
    <font>
      <sz val="11"/>
      <color theme="1"/>
      <name val="Aptos Narrow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indexed="9"/>
      <name val="Tahoma"/>
      <family val="2"/>
    </font>
    <font>
      <b/>
      <sz val="15"/>
      <color theme="3"/>
      <name val="Aptos Narrow"/>
      <family val="2"/>
      <scheme val="minor"/>
    </font>
    <font>
      <sz val="11"/>
      <color theme="4" tint="-0.249977111117893"/>
      <name val="Aptos Narrow"/>
      <family val="2"/>
    </font>
    <font>
      <sz val="11"/>
      <color theme="4" tint="-0.249977111117893"/>
      <name val="Aptos Narrow"/>
      <family val="2"/>
      <scheme val="minor"/>
    </font>
    <font>
      <b/>
      <sz val="14"/>
      <name val="Aptos Narrow"/>
      <family val="2"/>
    </font>
    <font>
      <b/>
      <sz val="14"/>
      <color theme="7"/>
      <name val="Aptos Narrow"/>
      <family val="2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indexed="9"/>
      <name val="Tahoma"/>
      <family val="2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</font>
    <font>
      <b/>
      <sz val="16"/>
      <color theme="1"/>
      <name val="Aptos Narrow"/>
      <family val="2"/>
      <scheme val="minor"/>
    </font>
    <font>
      <b/>
      <sz val="16"/>
      <name val="Arial"/>
      <family val="2"/>
    </font>
    <font>
      <b/>
      <sz val="16"/>
      <name val="Aptos Narrow"/>
      <family val="2"/>
      <scheme val="minor"/>
    </font>
    <font>
      <sz val="16"/>
      <color theme="3"/>
      <name val="Aptos Narrow"/>
      <family val="2"/>
    </font>
    <font>
      <sz val="16"/>
      <color theme="3"/>
      <name val="Aptos Narrow"/>
      <family val="2"/>
      <scheme val="minor"/>
    </font>
    <font>
      <b/>
      <sz val="18"/>
      <name val="Aptos Narrow"/>
      <family val="2"/>
    </font>
    <font>
      <b/>
      <sz val="18"/>
      <color theme="7"/>
      <name val="Aptos Narrow"/>
      <family val="2"/>
    </font>
    <font>
      <sz val="18"/>
      <color theme="1"/>
      <name val="Aptos Narrow"/>
      <family val="2"/>
      <scheme val="minor"/>
    </font>
    <font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F0C8"/>
        <bgColor rgb="FFC1F0C8"/>
      </patternFill>
    </fill>
    <fill>
      <patternFill patternType="solid">
        <fgColor rgb="FF275317"/>
        <bgColor rgb="FF275317"/>
      </patternFill>
    </fill>
    <fill>
      <patternFill patternType="solid">
        <fgColor rgb="FF2297CC"/>
        <bgColor indexed="64"/>
      </patternFill>
    </fill>
    <fill>
      <patternFill patternType="solid">
        <fgColor rgb="FFE3F6FD"/>
        <bgColor indexed="64"/>
      </patternFill>
    </fill>
    <fill>
      <patternFill patternType="solid">
        <fgColor rgb="FF1B84C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2297CC"/>
      </left>
      <right/>
      <top style="thin">
        <color theme="7"/>
      </top>
      <bottom/>
      <diagonal/>
    </border>
    <border>
      <left style="thin">
        <color rgb="FF2297CC"/>
      </left>
      <right/>
      <top/>
      <bottom/>
      <diagonal/>
    </border>
    <border>
      <left style="thin">
        <color rgb="FF2297CC"/>
      </left>
      <right/>
      <top/>
      <bottom style="medium">
        <color theme="4" tint="0.39994506668294322"/>
      </bottom>
      <diagonal/>
    </border>
    <border>
      <left style="thin">
        <color rgb="FF2297CC"/>
      </left>
      <right/>
      <top style="thin">
        <color rgb="FF2297CC"/>
      </top>
      <bottom style="thin">
        <color theme="7"/>
      </bottom>
      <diagonal/>
    </border>
    <border>
      <left/>
      <right/>
      <top style="thin">
        <color rgb="FF2297CC"/>
      </top>
      <bottom style="thin">
        <color theme="7"/>
      </bottom>
      <diagonal/>
    </border>
    <border>
      <left/>
      <right/>
      <top style="thin">
        <color rgb="FF2297CC"/>
      </top>
      <bottom style="thin">
        <color rgb="FF2297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B7AC4"/>
      </left>
      <right/>
      <top/>
      <bottom/>
      <diagonal/>
    </border>
    <border>
      <left/>
      <right/>
      <top style="thin">
        <color rgb="FF2297CC"/>
      </top>
      <bottom/>
      <diagonal/>
    </border>
    <border>
      <left style="thin">
        <color rgb="FF1B7AC4"/>
      </left>
      <right/>
      <top style="thin">
        <color rgb="FF1B7AC4"/>
      </top>
      <bottom style="thin">
        <color rgb="FF2297CC"/>
      </bottom>
      <diagonal/>
    </border>
    <border>
      <left/>
      <right/>
      <top style="thin">
        <color rgb="FF1B7AC4"/>
      </top>
      <bottom style="thin">
        <color rgb="FF2297CC"/>
      </bottom>
      <diagonal/>
    </border>
    <border>
      <left style="thin">
        <color rgb="FF1B7AC4"/>
      </left>
      <right/>
      <top style="thin">
        <color rgb="FF2297CC"/>
      </top>
      <bottom style="thin">
        <color rgb="FF2297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B7AC4"/>
      </left>
      <right/>
      <top style="thin">
        <color rgb="FF2297CC"/>
      </top>
      <bottom/>
      <diagonal/>
    </border>
    <border>
      <left style="thin">
        <color rgb="FF1B7AC4"/>
      </left>
      <right/>
      <top/>
      <bottom style="thin">
        <color rgb="FF1B7AC4"/>
      </bottom>
      <diagonal/>
    </border>
    <border>
      <left style="thin">
        <color rgb="FF1B7AC4"/>
      </left>
      <right/>
      <top style="thin">
        <color rgb="FF1B7AC4"/>
      </top>
      <bottom/>
      <diagonal/>
    </border>
    <border>
      <left style="thin">
        <color rgb="FF1B7AC4"/>
      </left>
      <right style="thin">
        <color rgb="FF1B7AC4"/>
      </right>
      <top style="thin">
        <color rgb="FF2297CC"/>
      </top>
      <bottom/>
      <diagonal/>
    </border>
    <border>
      <left style="thin">
        <color rgb="FF1B7AC4"/>
      </left>
      <right style="thin">
        <color rgb="FF1B7AC4"/>
      </right>
      <top/>
      <bottom/>
      <diagonal/>
    </border>
    <border>
      <left style="thin">
        <color rgb="FF1B7AC4"/>
      </left>
      <right style="thin">
        <color rgb="FF1B7AC4"/>
      </right>
      <top/>
      <bottom style="thin">
        <color rgb="FF2297CC"/>
      </bottom>
      <diagonal/>
    </border>
    <border>
      <left style="thin">
        <color rgb="FF1B7AC4"/>
      </left>
      <right style="thin">
        <color rgb="FF1B7AC4"/>
      </right>
      <top style="thin">
        <color rgb="FF1B7AC4"/>
      </top>
      <bottom/>
      <diagonal/>
    </border>
    <border>
      <left style="thin">
        <color rgb="FF1B7AC4"/>
      </left>
      <right style="thin">
        <color rgb="FF1B7AC4"/>
      </right>
      <top/>
      <bottom style="thin">
        <color rgb="FF1B7AC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14" applyNumberFormat="0" applyFill="0" applyAlignment="0" applyProtection="0"/>
  </cellStyleXfs>
  <cellXfs count="102">
    <xf numFmtId="0" fontId="0" fillId="0" borderId="0" xfId="0"/>
    <xf numFmtId="0" fontId="1" fillId="0" borderId="3" xfId="0" applyFont="1" applyBorder="1"/>
    <xf numFmtId="10" fontId="1" fillId="0" borderId="3" xfId="0" applyNumberFormat="1" applyFont="1" applyBorder="1"/>
    <xf numFmtId="9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2" borderId="3" xfId="0" applyFont="1" applyFill="1" applyBorder="1"/>
    <xf numFmtId="0" fontId="1" fillId="0" borderId="0" xfId="0" applyFont="1"/>
    <xf numFmtId="0" fontId="3" fillId="0" borderId="3" xfId="0" applyFont="1" applyBorder="1"/>
    <xf numFmtId="164" fontId="3" fillId="0" borderId="3" xfId="0" applyNumberFormat="1" applyFont="1" applyBorder="1"/>
    <xf numFmtId="164" fontId="3" fillId="2" borderId="3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0" fontId="3" fillId="0" borderId="8" xfId="0" applyFont="1" applyBorder="1"/>
    <xf numFmtId="164" fontId="1" fillId="0" borderId="3" xfId="0" applyNumberFormat="1" applyFont="1" applyBorder="1"/>
    <xf numFmtId="165" fontId="1" fillId="0" borderId="3" xfId="0" applyNumberFormat="1" applyFont="1" applyBorder="1"/>
    <xf numFmtId="0" fontId="1" fillId="5" borderId="12" xfId="0" applyFont="1" applyFill="1" applyBorder="1"/>
    <xf numFmtId="0" fontId="1" fillId="5" borderId="13" xfId="0" applyFont="1" applyFill="1" applyBorder="1"/>
    <xf numFmtId="0" fontId="0" fillId="5" borderId="16" xfId="0" applyFill="1" applyBorder="1" applyAlignment="1">
      <alignment horizontal="right"/>
    </xf>
    <xf numFmtId="0" fontId="0" fillId="5" borderId="0" xfId="0" applyFill="1"/>
    <xf numFmtId="0" fontId="0" fillId="5" borderId="16" xfId="0" applyFill="1" applyBorder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0" fillId="0" borderId="21" xfId="0" applyBorder="1"/>
    <xf numFmtId="168" fontId="0" fillId="0" borderId="0" xfId="1" applyNumberFormat="1" applyFont="1"/>
    <xf numFmtId="0" fontId="3" fillId="0" borderId="1" xfId="0" applyFont="1" applyBorder="1"/>
    <xf numFmtId="165" fontId="3" fillId="0" borderId="1" xfId="0" applyNumberFormat="1" applyFont="1" applyBorder="1"/>
    <xf numFmtId="0" fontId="0" fillId="0" borderId="22" xfId="0" applyBorder="1"/>
    <xf numFmtId="164" fontId="0" fillId="0" borderId="0" xfId="0" applyNumberFormat="1"/>
    <xf numFmtId="168" fontId="0" fillId="0" borderId="21" xfId="1" applyNumberFormat="1" applyFont="1" applyBorder="1"/>
    <xf numFmtId="168" fontId="0" fillId="0" borderId="0" xfId="0" applyNumberFormat="1"/>
    <xf numFmtId="0" fontId="1" fillId="0" borderId="1" xfId="0" applyFont="1" applyBorder="1"/>
    <xf numFmtId="0" fontId="1" fillId="0" borderId="27" xfId="0" applyFont="1" applyBorder="1"/>
    <xf numFmtId="1" fontId="1" fillId="0" borderId="21" xfId="0" applyNumberFormat="1" applyFont="1" applyBorder="1"/>
    <xf numFmtId="1" fontId="0" fillId="0" borderId="21" xfId="0" applyNumberFormat="1" applyBorder="1"/>
    <xf numFmtId="0" fontId="15" fillId="5" borderId="0" xfId="0" applyFont="1" applyFill="1" applyAlignment="1">
      <alignment horizontal="right" vertical="center"/>
    </xf>
    <xf numFmtId="0" fontId="12" fillId="5" borderId="0" xfId="0" applyFont="1" applyFill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right"/>
    </xf>
    <xf numFmtId="9" fontId="12" fillId="5" borderId="0" xfId="2" applyFont="1" applyFill="1" applyBorder="1" applyAlignment="1">
      <alignment horizontal="center" vertical="center"/>
    </xf>
    <xf numFmtId="0" fontId="0" fillId="5" borderId="16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8" fillId="0" borderId="31" xfId="0" applyFont="1" applyBorder="1"/>
    <xf numFmtId="0" fontId="9" fillId="0" borderId="34" xfId="0" applyFont="1" applyBorder="1"/>
    <xf numFmtId="0" fontId="9" fillId="0" borderId="35" xfId="0" applyFont="1" applyBorder="1"/>
    <xf numFmtId="0" fontId="16" fillId="5" borderId="15" xfId="0" applyFont="1" applyFill="1" applyBorder="1"/>
    <xf numFmtId="0" fontId="16" fillId="5" borderId="11" xfId="0" applyFont="1" applyFill="1" applyBorder="1"/>
    <xf numFmtId="0" fontId="17" fillId="5" borderId="16" xfId="0" applyFont="1" applyFill="1" applyBorder="1" applyAlignment="1">
      <alignment horizontal="right" vertical="center"/>
    </xf>
    <xf numFmtId="166" fontId="18" fillId="0" borderId="3" xfId="0" applyNumberFormat="1" applyFont="1" applyBorder="1" applyAlignment="1" applyProtection="1">
      <alignment horizontal="right" vertical="center"/>
      <protection locked="0"/>
    </xf>
    <xf numFmtId="0" fontId="19" fillId="5" borderId="0" xfId="0" applyFont="1" applyFill="1" applyAlignment="1">
      <alignment horizontal="right" vertical="center"/>
    </xf>
    <xf numFmtId="0" fontId="18" fillId="0" borderId="3" xfId="0" applyFont="1" applyBorder="1" applyAlignment="1" applyProtection="1">
      <alignment horizontal="right" vertical="center"/>
      <protection locked="0"/>
    </xf>
    <xf numFmtId="0" fontId="20" fillId="5" borderId="0" xfId="0" applyFont="1" applyFill="1" applyAlignment="1">
      <alignment horizontal="right" vertical="center"/>
    </xf>
    <xf numFmtId="0" fontId="13" fillId="5" borderId="16" xfId="0" applyFont="1" applyFill="1" applyBorder="1" applyAlignment="1">
      <alignment horizontal="right" vertical="center"/>
    </xf>
    <xf numFmtId="167" fontId="21" fillId="5" borderId="0" xfId="1" applyNumberFormat="1" applyFont="1" applyFill="1" applyBorder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168" fontId="21" fillId="5" borderId="0" xfId="1" applyNumberFormat="1" applyFont="1" applyFill="1" applyBorder="1" applyAlignment="1">
      <alignment horizontal="right" vertical="center"/>
    </xf>
    <xf numFmtId="167" fontId="18" fillId="0" borderId="3" xfId="0" applyNumberFormat="1" applyFont="1" applyBorder="1" applyAlignment="1" applyProtection="1">
      <alignment horizontal="right" vertical="center"/>
      <protection locked="0"/>
    </xf>
    <xf numFmtId="0" fontId="19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1" fontId="18" fillId="0" borderId="3" xfId="0" applyNumberFormat="1" applyFont="1" applyBorder="1" applyAlignment="1" applyProtection="1">
      <alignment horizontal="right" vertical="center"/>
      <protection locked="0"/>
    </xf>
    <xf numFmtId="0" fontId="16" fillId="5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3" fillId="0" borderId="21" xfId="0" applyFont="1" applyBorder="1" applyAlignment="1">
      <alignment horizontal="left"/>
    </xf>
    <xf numFmtId="1" fontId="1" fillId="0" borderId="21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5" fillId="0" borderId="32" xfId="0" applyFont="1" applyBorder="1" applyAlignment="1">
      <alignment wrapText="1"/>
    </xf>
    <xf numFmtId="0" fontId="9" fillId="0" borderId="32" xfId="0" applyFont="1" applyBorder="1" applyAlignment="1">
      <alignment wrapText="1"/>
    </xf>
    <xf numFmtId="0" fontId="9" fillId="0" borderId="33" xfId="0" applyFont="1" applyBorder="1" applyAlignment="1">
      <alignment wrapText="1"/>
    </xf>
    <xf numFmtId="0" fontId="22" fillId="0" borderId="32" xfId="0" applyFont="1" applyBorder="1" applyAlignment="1">
      <alignment vertical="center" wrapText="1"/>
    </xf>
    <xf numFmtId="0" fontId="0" fillId="0" borderId="32" xfId="0" applyBorder="1"/>
    <xf numFmtId="0" fontId="24" fillId="0" borderId="32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4">
    <cellStyle name="Milliers" xfId="1" builtinId="3"/>
    <cellStyle name="Normal" xfId="0" builtinId="0"/>
    <cellStyle name="Pourcentage" xfId="2" builtinId="5"/>
    <cellStyle name="Titre 1" xfId="3" builtinId="16"/>
  </cellStyles>
  <dxfs count="0"/>
  <tableStyles count="0" defaultTableStyle="TableStyleMedium2" defaultPivotStyle="PivotStyleLight16"/>
  <colors>
    <mruColors>
      <color rgb="FF1B7AC4"/>
      <color rgb="FF1B84C5"/>
      <color rgb="FF1A759E"/>
      <color rgb="FFE3F6FD"/>
      <color rgb="FF2297CC"/>
      <color rgb="FF57B8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AEA2972F-D94D-486D-A493-A495D9C87863}">
          <cx:dataPt idx="0">
            <cx:spPr>
              <a:solidFill>
                <a:srgbClr val="156082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rgbClr val="156082">
                  <a:lumMod val="60000"/>
                  <a:lumOff val="40000"/>
                </a:srgbClr>
              </a:solidFill>
            </cx:spPr>
          </cx:dataPt>
          <cx:dataPt idx="5">
            <cx:spPr>
              <a:solidFill>
                <a:srgbClr val="196B24">
                  <a:lumMod val="20000"/>
                  <a:lumOff val="80000"/>
                </a:srgbClr>
              </a:solidFill>
            </cx:spPr>
          </cx:dataPt>
          <cx:dataPt idx="6">
            <cx:spPr>
              <a:solidFill>
                <a:srgbClr val="156082">
                  <a:lumMod val="60000"/>
                  <a:lumOff val="40000"/>
                </a:srgbClr>
              </a:solidFill>
            </cx:spPr>
          </cx:dataPt>
          <cx:dataLabels pos="ctr">
            <cx:numFmt formatCode="# ##0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800"/>
                </a:pPr>
                <a:endParaRPr lang="fr-FR" sz="1800" b="0" i="0" u="none" strike="noStrike" baseline="0">
                  <a:solidFill>
                    <a:scrgbClr r="0" g="0" b="0"/>
                  </a:solidFill>
                  <a:latin typeface="Aptos Narrow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visibility connectorLines="0"/>
            <cx:subtotals>
              <cx:idx val="0"/>
              <cx:idx val="4"/>
              <cx:idx val="6"/>
            </cx:subtotals>
          </cx:layoutPr>
        </cx:series>
      </cx:plotAreaRegion>
      <cx:axis id="0">
        <cx:catScaling/>
        <cx:title>
          <cx:txPr>
            <a:bodyPr lIns="0" tIns="0" rIns="0" bIns="0"/>
            <a:lstStyle/>
            <a:p>
              <a:pPr lvl="0">
                <a:defRPr b="0">
                  <a:solidFill>
                    <a:srgbClr val="000000"/>
                  </a:solidFill>
                  <a:latin typeface="+mn-lt"/>
                </a:defRPr>
              </a:pPr>
              <a:endParaRPr/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/>
            </a:pPr>
            <a:endParaRPr lang="fr-FR" sz="1100" b="0" i="0" u="none" strike="noStrike" baseline="0">
              <a:solidFill>
                <a:scrgbClr r="0" g="0" b="0"/>
              </a:solidFill>
              <a:latin typeface="Aptos Narrow"/>
            </a:endParaRPr>
          </a:p>
        </cx:txPr>
      </cx:axis>
      <cx:axis id="1" hidden="1">
        <cx:valScaling/>
        <cx:title>
          <cx:txPr>
            <a:bodyPr lIns="0" tIns="0" rIns="0" bIns="0"/>
            <a:lstStyle/>
            <a:p>
              <a:pPr lvl="0">
                <a:defRPr b="0">
                  <a:solidFill>
                    <a:srgbClr val="000000"/>
                  </a:solidFill>
                  <a:latin typeface="+mn-lt"/>
                </a:defRPr>
              </a:pPr>
              <a:endParaRPr/>
            </a:p>
          </cx:txPr>
        </cx:title>
        <cx:tickLabels/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rgbClr val="4285F4"/>
  <a:srgbClr val="DB4437"/>
  <a:srgbClr val="BDBDBD"/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>
    <cs:lnRef idx="0"/>
    <cs:fillRef idx="0"/>
    <cs:effectRef idx="0"/>
    <cs:fontRef idx="minor"/>
    <cs:spPr>
      <a:solidFill>
        <a:srgbClr val="FFFFFF"/>
      </a:solidFill>
      <a:ln w="9525" cap="flat" cmpd="sng" algn="ctr">
        <a:solidFill>
          <a:srgbClr val="000000"/>
        </a:solidFill>
      </a:ln>
    </cs:spPr>
  </cs:chartArea>
  <cs:dataLabel>
    <cs:lnRef idx="0"/>
    <cs:fillRef idx="0"/>
    <cs:effectRef idx="0"/>
    <cs:fontRef idx="minor"/>
  </cs:dataLabel>
  <cs:dataLabelCallout>
    <cs:lnRef idx="0"/>
    <cs:fillRef idx="0"/>
    <cs:effectRef idx="0"/>
    <cs:fontRef idx="minor"/>
  </cs:dataLabelCallout>
  <cs:dataPoint>
    <cs:lnRef idx="0"/>
    <cs:fillRef idx="0">
      <cs:styleClr val="isAuto"/>
    </cs:fillRef>
    <cs:effectRef idx="0"/>
    <cs:fontRef idx="minor"/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254000</xdr:colOff>
      <xdr:row>39</xdr:row>
      <xdr:rowOff>63501</xdr:rowOff>
    </xdr:from>
    <xdr:to>
      <xdr:col>9</xdr:col>
      <xdr:colOff>0</xdr:colOff>
      <xdr:row>1048576</xdr:row>
      <xdr:rowOff>158751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 title="Graphique">
              <a:extLst>
                <a:ext uri="{FF2B5EF4-FFF2-40B4-BE49-F238E27FC236}">
                  <a16:creationId xmlns:a16="http://schemas.microsoft.com/office/drawing/2014/main" id="{81BF8207-6FE0-46E2-B977-3A1E3AD270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91350" y="6781801"/>
              <a:ext cx="12858750" cy="2349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CEF3-B144-400D-872D-959B4C97B619}">
  <sheetPr>
    <tabColor rgb="FF1B7AC4"/>
  </sheetPr>
  <dimension ref="A1:J78"/>
  <sheetViews>
    <sheetView showGridLines="0" tabSelected="1" zoomScale="40" zoomScaleNormal="40" workbookViewId="0">
      <selection activeCell="B35" sqref="B35"/>
    </sheetView>
  </sheetViews>
  <sheetFormatPr baseColWidth="10" defaultColWidth="0" defaultRowHeight="14.5" zeroHeight="1"/>
  <cols>
    <col min="1" max="1" width="57.7265625" customWidth="1"/>
    <col min="2" max="2" width="38.7265625" customWidth="1"/>
    <col min="3" max="3" width="5" customWidth="1"/>
    <col min="4" max="4" width="1.08984375" customWidth="1"/>
    <col min="5" max="5" width="35.08984375" customWidth="1"/>
    <col min="6" max="6" width="37.90625" customWidth="1"/>
    <col min="7" max="7" width="34.7265625" customWidth="1"/>
    <col min="8" max="8" width="36" customWidth="1"/>
    <col min="9" max="9" width="37.90625" customWidth="1"/>
    <col min="10" max="10" width="10.54296875" hidden="1" customWidth="1"/>
    <col min="11" max="16384" width="12.54296875" hidden="1"/>
  </cols>
  <sheetData>
    <row r="1" spans="1:9" ht="26.25" customHeight="1">
      <c r="A1" s="87" t="s">
        <v>45</v>
      </c>
      <c r="B1" s="87"/>
      <c r="C1" s="87"/>
      <c r="D1" s="87"/>
      <c r="E1" s="87"/>
      <c r="F1" s="87"/>
      <c r="G1" s="87"/>
      <c r="H1" s="87"/>
      <c r="I1" s="87"/>
    </row>
    <row r="2" spans="1:9" ht="23.5" customHeight="1">
      <c r="A2" s="92" t="s">
        <v>12</v>
      </c>
      <c r="B2" s="93"/>
      <c r="C2" s="93"/>
      <c r="D2" s="25"/>
      <c r="E2" s="88" t="s">
        <v>90</v>
      </c>
      <c r="F2" s="89"/>
      <c r="G2" s="89"/>
      <c r="H2" s="89"/>
      <c r="I2" s="89"/>
    </row>
    <row r="3" spans="1:9" ht="14.25" customHeight="1">
      <c r="A3" s="53"/>
      <c r="B3" s="54"/>
      <c r="C3" s="19"/>
      <c r="D3" s="10"/>
      <c r="E3" s="50"/>
      <c r="F3" s="50"/>
      <c r="G3" s="50"/>
      <c r="H3" s="50"/>
      <c r="I3" s="50"/>
    </row>
    <row r="4" spans="1:9" ht="18" customHeight="1">
      <c r="A4" s="55" t="s">
        <v>39</v>
      </c>
      <c r="B4" s="56">
        <v>3.5000000000000003E-2</v>
      </c>
      <c r="C4" s="20"/>
      <c r="D4" s="10"/>
      <c r="E4" s="78"/>
      <c r="F4" s="78"/>
      <c r="G4" s="78"/>
      <c r="H4" s="78"/>
      <c r="I4" s="78"/>
    </row>
    <row r="5" spans="1:9" ht="5.5" customHeight="1">
      <c r="A5" s="55"/>
      <c r="B5" s="57"/>
      <c r="C5" s="20"/>
      <c r="D5" s="10"/>
      <c r="E5" s="78"/>
      <c r="F5" s="78"/>
      <c r="G5" s="78"/>
      <c r="H5" s="78"/>
      <c r="I5" s="78"/>
    </row>
    <row r="6" spans="1:9" ht="18" customHeight="1">
      <c r="A6" s="55" t="s">
        <v>17</v>
      </c>
      <c r="B6" s="58">
        <v>20</v>
      </c>
      <c r="C6" s="20"/>
      <c r="D6" s="10"/>
      <c r="E6" s="78"/>
      <c r="F6" s="78"/>
      <c r="G6" s="78"/>
      <c r="H6" s="78"/>
      <c r="I6" s="78"/>
    </row>
    <row r="7" spans="1:9" ht="6" customHeight="1">
      <c r="A7" s="55"/>
      <c r="B7" s="57"/>
      <c r="C7" s="20"/>
      <c r="D7" s="10"/>
      <c r="E7" s="78"/>
      <c r="F7" s="78"/>
      <c r="G7" s="78"/>
      <c r="H7" s="78"/>
      <c r="I7" s="78"/>
    </row>
    <row r="8" spans="1:9" ht="20" customHeight="1">
      <c r="A8" s="55" t="s">
        <v>0</v>
      </c>
      <c r="B8" s="58" t="s">
        <v>74</v>
      </c>
      <c r="C8" s="20"/>
      <c r="D8" s="10"/>
      <c r="E8" s="81" t="s">
        <v>35</v>
      </c>
      <c r="F8" s="81" t="s">
        <v>38</v>
      </c>
      <c r="G8" s="81" t="s">
        <v>115</v>
      </c>
      <c r="H8" s="81" t="s">
        <v>116</v>
      </c>
      <c r="I8" s="81" t="s">
        <v>56</v>
      </c>
    </row>
    <row r="9" spans="1:9" ht="6" customHeight="1">
      <c r="A9" s="55"/>
      <c r="B9" s="59"/>
      <c r="C9" s="20"/>
      <c r="D9" s="10"/>
      <c r="E9" s="81"/>
      <c r="F9" s="81"/>
      <c r="G9" s="81"/>
      <c r="H9" s="81"/>
      <c r="I9" s="81"/>
    </row>
    <row r="10" spans="1:9" ht="21" customHeight="1">
      <c r="A10" s="60" t="s">
        <v>73</v>
      </c>
      <c r="B10" s="61" t="str">
        <f>VLOOKUP(B8,'Listes et paramètres'!A37:B89,2,FALSE)</f>
        <v>MILITAIRE DU RANG</v>
      </c>
      <c r="C10" s="20"/>
      <c r="D10" s="10"/>
      <c r="E10" s="81"/>
      <c r="F10" s="81"/>
      <c r="G10" s="81"/>
      <c r="H10" s="81"/>
      <c r="I10" s="81"/>
    </row>
    <row r="11" spans="1:9" ht="6" customHeight="1">
      <c r="A11" s="60"/>
      <c r="B11" s="59"/>
      <c r="C11" s="20"/>
      <c r="D11" s="10"/>
      <c r="E11" s="83" t="str">
        <f>TEXT('resume calculs'!B5,"# ##0")&amp;" CFA"</f>
        <v>4 680 000 CFA</v>
      </c>
      <c r="F11" s="83" t="str">
        <f>TEXT(-'resume calculs'!B6,"# ##0")&amp;" FCFA"</f>
        <v>93 600 FCFA</v>
      </c>
      <c r="G11" s="83" t="str">
        <f>TEXT(-'resume calculs'!B7,"# ##0")&amp;" FCFA"</f>
        <v>46 800 FCFA</v>
      </c>
      <c r="H11" s="83" t="str">
        <f>TEXT(-'resume calculs'!B8,"# ##0")&amp;" FCFA"</f>
        <v>0 FCFA</v>
      </c>
      <c r="I11" s="83" t="str">
        <f>TEXT('resume calculs'!B9,"# ##0")&amp;" CFA"</f>
        <v>4 539 600 CFA</v>
      </c>
    </row>
    <row r="12" spans="1:9" ht="18.5" customHeight="1">
      <c r="A12" s="62" t="s">
        <v>40</v>
      </c>
      <c r="B12" s="61">
        <f>IF(B16-B6&lt;=0,0,VLOOKUP(B10,'Listes et paramètres'!$A$3:$G$9,3,FALSE))</f>
        <v>15000</v>
      </c>
      <c r="C12" s="20"/>
      <c r="D12" s="10"/>
      <c r="E12" s="83"/>
      <c r="F12" s="83"/>
      <c r="G12" s="83"/>
      <c r="H12" s="83"/>
      <c r="I12" s="83"/>
    </row>
    <row r="13" spans="1:9" ht="6" customHeight="1">
      <c r="A13" s="60"/>
      <c r="B13" s="59"/>
      <c r="C13" s="20"/>
      <c r="D13" s="10"/>
      <c r="E13" s="83"/>
      <c r="F13" s="83"/>
      <c r="G13" s="83"/>
      <c r="H13" s="83"/>
      <c r="I13" s="83"/>
    </row>
    <row r="14" spans="1:9" ht="18.5" customHeight="1">
      <c r="A14" s="62" t="s">
        <v>132</v>
      </c>
      <c r="B14" s="61">
        <f>IF(B16-B6&lt;=0,0,IF(B16-B6&lt;=3,B12*3/(B16-B6)-B12,0))</f>
        <v>0</v>
      </c>
      <c r="C14" s="20"/>
      <c r="D14" s="10"/>
      <c r="E14" s="83"/>
      <c r="F14" s="83"/>
      <c r="G14" s="83"/>
      <c r="H14" s="83"/>
      <c r="I14" s="83"/>
    </row>
    <row r="15" spans="1:9" ht="6" customHeight="1">
      <c r="A15" s="60"/>
      <c r="B15" s="59"/>
      <c r="C15" s="20"/>
      <c r="D15" s="10"/>
      <c r="E15" s="79"/>
      <c r="F15" s="79"/>
      <c r="G15" s="79"/>
      <c r="H15" s="79"/>
      <c r="I15" s="79"/>
    </row>
    <row r="16" spans="1:9" ht="18.5" customHeight="1">
      <c r="A16" s="62" t="s">
        <v>130</v>
      </c>
      <c r="B16" s="63">
        <f>VLOOKUP(B8,'Listes et paramètres'!$A$37:$C$89,3,FALSE)</f>
        <v>46</v>
      </c>
      <c r="C16" s="20"/>
      <c r="D16" s="10"/>
      <c r="E16" s="80"/>
      <c r="F16" s="80"/>
      <c r="G16" s="80"/>
      <c r="H16" s="80"/>
      <c r="I16" s="80"/>
    </row>
    <row r="17" spans="1:9" hidden="1">
      <c r="A17" s="22"/>
      <c r="B17" s="22"/>
      <c r="E17" s="30"/>
    </row>
    <row r="18" spans="1:9" ht="20.5" customHeight="1">
      <c r="A18" s="62" t="s">
        <v>129</v>
      </c>
      <c r="B18" s="63">
        <f>IF(B16-B6&lt;=0,0,IF(B16-B6&lt;=3,B16+3,B16))</f>
        <v>46</v>
      </c>
      <c r="C18" s="20"/>
      <c r="D18" s="10"/>
      <c r="E18" s="81" t="s">
        <v>13</v>
      </c>
      <c r="F18" s="81" t="s">
        <v>14</v>
      </c>
      <c r="G18" s="81" t="s">
        <v>15</v>
      </c>
      <c r="H18" s="81" t="s">
        <v>16</v>
      </c>
      <c r="I18" s="81" t="s">
        <v>71</v>
      </c>
    </row>
    <row r="19" spans="1:9" ht="6" customHeight="1">
      <c r="A19" s="55"/>
      <c r="B19" s="59"/>
      <c r="C19" s="20"/>
      <c r="D19" s="10"/>
      <c r="E19" s="81"/>
      <c r="F19" s="81"/>
      <c r="G19" s="81"/>
      <c r="H19" s="81"/>
      <c r="I19" s="81"/>
    </row>
    <row r="20" spans="1:9" ht="21" customHeight="1">
      <c r="A20" s="55" t="s">
        <v>63</v>
      </c>
      <c r="B20" s="64">
        <v>0</v>
      </c>
      <c r="C20" s="20"/>
      <c r="D20" s="10"/>
      <c r="E20" s="81"/>
      <c r="F20" s="81"/>
      <c r="G20" s="81"/>
      <c r="H20" s="81"/>
      <c r="I20" s="81"/>
    </row>
    <row r="21" spans="1:9" ht="4" customHeight="1">
      <c r="A21" s="55"/>
      <c r="B21" s="65"/>
      <c r="C21" s="20"/>
      <c r="D21" s="10"/>
      <c r="E21" s="77"/>
      <c r="F21" s="77"/>
      <c r="G21" s="77"/>
      <c r="H21" s="77"/>
      <c r="I21" s="77"/>
    </row>
    <row r="22" spans="1:9" ht="5.5" customHeight="1">
      <c r="A22" s="55"/>
      <c r="B22" s="65"/>
      <c r="C22" s="20"/>
      <c r="D22" s="10"/>
      <c r="E22" s="83" t="str">
        <f>TEXT('resume calculs'!B11,"# ##0")&amp;" FCFA"</f>
        <v>7 338 414 FCFA</v>
      </c>
      <c r="F22" s="83" t="str">
        <f>TEXT('resume calculs'!B12,"# ##0")&amp;" FCFA"</f>
        <v>132 936 FCFA</v>
      </c>
      <c r="G22" s="83" t="str">
        <f>TEXT('resume calculs'!B13,"# ##0")&amp;" FCFA"</f>
        <v>72 171 FCFA</v>
      </c>
      <c r="H22" s="83" t="str">
        <f>TEXT('resume calculs'!B14,"# ##0")&amp;" FCFA"</f>
        <v>52 114 FCFA</v>
      </c>
      <c r="I22" s="83" t="str">
        <f>TEXT('resume calculs'!B15,"# ##0")&amp;" FCFA"</f>
        <v>42 232 FCFA</v>
      </c>
    </row>
    <row r="23" spans="1:9" ht="21" customHeight="1">
      <c r="A23" s="55" t="s">
        <v>64</v>
      </c>
      <c r="B23" s="64" t="s">
        <v>131</v>
      </c>
      <c r="C23" s="20"/>
      <c r="D23" s="10"/>
      <c r="E23" s="83"/>
      <c r="F23" s="83"/>
      <c r="G23" s="83"/>
      <c r="H23" s="83"/>
      <c r="I23" s="83"/>
    </row>
    <row r="24" spans="1:9" ht="5.5" customHeight="1">
      <c r="A24" s="62"/>
      <c r="B24" s="66"/>
      <c r="C24" s="20"/>
      <c r="D24" s="10"/>
      <c r="E24" s="83"/>
      <c r="F24" s="83"/>
      <c r="G24" s="83"/>
      <c r="H24" s="83"/>
      <c r="I24" s="83"/>
    </row>
    <row r="25" spans="1:9" ht="13.5" customHeight="1">
      <c r="A25" s="62" t="s">
        <v>68</v>
      </c>
      <c r="B25" s="63">
        <f>IF(B23="Non",0,2000000)</f>
        <v>0</v>
      </c>
      <c r="C25" s="20"/>
      <c r="D25" s="10"/>
      <c r="E25" s="78"/>
      <c r="F25" s="78"/>
      <c r="G25" s="78"/>
      <c r="H25" s="78"/>
      <c r="I25" s="78"/>
    </row>
    <row r="26" spans="1:9" ht="6" customHeight="1">
      <c r="A26" s="62"/>
      <c r="B26" s="66"/>
      <c r="C26" s="20"/>
      <c r="D26" s="10"/>
      <c r="E26" s="78"/>
      <c r="F26" s="78"/>
      <c r="G26" s="78"/>
      <c r="H26" s="78"/>
      <c r="I26" s="78"/>
    </row>
    <row r="27" spans="1:9" ht="5.5" customHeight="1">
      <c r="A27" s="69"/>
      <c r="B27" s="70"/>
      <c r="C27" s="20"/>
      <c r="D27" s="10"/>
      <c r="E27" s="74"/>
      <c r="F27" s="74"/>
      <c r="G27" s="74"/>
      <c r="H27" s="74"/>
      <c r="I27" s="74"/>
    </row>
    <row r="28" spans="1:9" ht="21.5" customHeight="1">
      <c r="A28" s="62" t="s">
        <v>72</v>
      </c>
      <c r="B28" s="61">
        <f>IF(B23="Non",0,7600)</f>
        <v>0</v>
      </c>
      <c r="C28" s="20"/>
      <c r="D28" s="10"/>
      <c r="E28" s="75"/>
      <c r="F28" s="75"/>
      <c r="G28" s="75"/>
      <c r="H28" s="75"/>
      <c r="I28" s="75"/>
    </row>
    <row r="29" spans="1:9" ht="6" customHeight="1">
      <c r="A29" s="22"/>
      <c r="B29" s="22"/>
      <c r="C29" s="20"/>
      <c r="D29" s="10"/>
      <c r="E29" s="76"/>
      <c r="F29" s="76"/>
      <c r="G29" s="76"/>
      <c r="H29" s="76"/>
      <c r="I29" s="76"/>
    </row>
    <row r="30" spans="1:9" ht="24" customHeight="1">
      <c r="A30" s="92" t="s">
        <v>62</v>
      </c>
      <c r="B30" s="93"/>
      <c r="C30" s="93"/>
      <c r="D30" s="10"/>
      <c r="E30" s="84" t="s">
        <v>62</v>
      </c>
      <c r="F30" s="85"/>
      <c r="G30" s="85"/>
      <c r="H30" s="85"/>
      <c r="I30" s="86"/>
    </row>
    <row r="31" spans="1:9" ht="10" customHeight="1">
      <c r="A31" s="23"/>
      <c r="B31" s="22"/>
      <c r="C31" s="19"/>
      <c r="D31" s="10"/>
      <c r="E31" s="40"/>
      <c r="F31" s="42"/>
      <c r="G31" s="42"/>
      <c r="H31" s="51"/>
      <c r="I31" s="24"/>
    </row>
    <row r="32" spans="1:9" ht="15" customHeight="1">
      <c r="A32" s="48"/>
      <c r="B32" s="49"/>
      <c r="C32" s="20"/>
      <c r="D32" s="10"/>
      <c r="E32" s="82" t="s">
        <v>120</v>
      </c>
      <c r="F32" s="82" t="s">
        <v>119</v>
      </c>
      <c r="G32" s="82" t="s">
        <v>118</v>
      </c>
      <c r="H32" s="81" t="s">
        <v>117</v>
      </c>
      <c r="I32" s="24"/>
    </row>
    <row r="33" spans="1:9" ht="18.5" customHeight="1">
      <c r="A33" s="55" t="s">
        <v>55</v>
      </c>
      <c r="B33" s="64" t="s">
        <v>133</v>
      </c>
      <c r="C33" s="20"/>
      <c r="D33" s="10"/>
      <c r="E33" s="82"/>
      <c r="F33" s="82"/>
      <c r="G33" s="82"/>
      <c r="H33" s="81"/>
      <c r="I33" s="43"/>
    </row>
    <row r="34" spans="1:9" ht="14" customHeight="1">
      <c r="A34" s="67"/>
      <c r="B34" s="65"/>
      <c r="C34" s="20"/>
      <c r="D34" s="10"/>
      <c r="E34" s="82"/>
      <c r="F34" s="82"/>
      <c r="G34" s="82"/>
      <c r="H34" s="81"/>
      <c r="I34" s="43"/>
    </row>
    <row r="35" spans="1:9" ht="20.5" customHeight="1">
      <c r="A35" s="55" t="s">
        <v>54</v>
      </c>
      <c r="B35" s="68">
        <v>44</v>
      </c>
      <c r="C35" s="20"/>
      <c r="D35" s="10"/>
      <c r="E35" s="96" t="str">
        <f>TEXT('resume calculs'!F8,"# ##0")&amp;" FCFA"</f>
        <v>4 500 000 FCFA</v>
      </c>
      <c r="F35" s="96" t="str">
        <f>TEXT('resume calculs'!F11,"# ##0")&amp;" FCFA"</f>
        <v>6 918 633 FCFA</v>
      </c>
      <c r="G35" s="96" t="str">
        <f>TEXT('resume calculs'!F10,"# ##0")&amp;" FCFA"</f>
        <v>6 918 633 FCFA</v>
      </c>
      <c r="H35" s="96" t="str">
        <f>TEXT('resume calculs'!F9,"# ##0")&amp;" FCFA"</f>
        <v>0 FCFA</v>
      </c>
      <c r="I35" s="44"/>
    </row>
    <row r="36" spans="1:9" ht="16" customHeight="1">
      <c r="A36" s="22"/>
      <c r="B36" s="22"/>
      <c r="C36" s="20"/>
      <c r="D36" s="10"/>
      <c r="E36" s="96"/>
      <c r="F36" s="96"/>
      <c r="G36" s="96"/>
      <c r="H36" s="96"/>
      <c r="I36" s="24"/>
    </row>
    <row r="37" spans="1:9" ht="12" customHeight="1">
      <c r="A37" s="23"/>
      <c r="B37" s="22"/>
      <c r="C37" s="20"/>
      <c r="D37" s="10"/>
      <c r="E37" s="41"/>
      <c r="F37" s="41"/>
      <c r="G37" s="41"/>
      <c r="H37" s="52"/>
      <c r="I37" s="24"/>
    </row>
    <row r="38" spans="1:9" ht="24" customHeight="1" thickBot="1">
      <c r="A38" s="94" t="s">
        <v>43</v>
      </c>
      <c r="B38" s="95"/>
      <c r="C38" s="95"/>
      <c r="D38" s="25"/>
      <c r="E38" s="90" t="s">
        <v>91</v>
      </c>
      <c r="F38" s="91"/>
      <c r="G38" s="91"/>
      <c r="H38" s="91"/>
      <c r="I38" s="91"/>
    </row>
    <row r="39" spans="1:9" ht="7.5" customHeight="1">
      <c r="A39" s="21"/>
      <c r="B39" s="22"/>
      <c r="C39" s="20"/>
      <c r="D39" s="10"/>
      <c r="E39" s="30"/>
    </row>
    <row r="40" spans="1:9" ht="45.5" customHeight="1">
      <c r="A40" s="22"/>
      <c r="B40" s="22"/>
      <c r="C40" s="20"/>
      <c r="D40" s="10"/>
      <c r="E40" s="30"/>
    </row>
    <row r="41" spans="1:9" ht="14.25" customHeight="1">
      <c r="A41" s="46"/>
      <c r="B41" s="39"/>
      <c r="C41" s="20"/>
      <c r="D41" s="10"/>
      <c r="E41" s="30"/>
    </row>
    <row r="42" spans="1:9" ht="14.25" customHeight="1">
      <c r="A42" s="38" t="s">
        <v>46</v>
      </c>
      <c r="B42" s="45" t="str">
        <f>TEXT(B16-B6,"# ##0")&amp;" ans"</f>
        <v>26 ans</v>
      </c>
      <c r="C42" s="20"/>
      <c r="D42" s="10"/>
      <c r="E42" s="30"/>
    </row>
    <row r="43" spans="1:9" ht="14.25" customHeight="1">
      <c r="A43" s="46"/>
      <c r="B43" s="45"/>
      <c r="C43" s="20"/>
      <c r="D43" s="10"/>
      <c r="E43" s="30"/>
    </row>
    <row r="44" spans="1:9" ht="14.25" customHeight="1">
      <c r="A44" s="38" t="s">
        <v>44</v>
      </c>
      <c r="B44" s="47">
        <f>'Listes et paramètres'!B14</f>
        <v>0.02</v>
      </c>
      <c r="C44" s="20"/>
      <c r="D44" s="10"/>
      <c r="E44" s="30"/>
    </row>
    <row r="45" spans="1:9" ht="14.25" customHeight="1">
      <c r="A45" s="46"/>
      <c r="B45" s="39"/>
      <c r="C45" s="20"/>
      <c r="D45" s="10"/>
      <c r="E45" s="30"/>
    </row>
    <row r="46" spans="1:9" ht="18.5">
      <c r="A46" s="38" t="s">
        <v>47</v>
      </c>
      <c r="B46" s="47">
        <f>'Listes et paramètres'!B15</f>
        <v>0.01</v>
      </c>
      <c r="C46" s="20"/>
      <c r="D46" s="10"/>
      <c r="E46" s="30"/>
    </row>
    <row r="47" spans="1:9">
      <c r="A47" s="22"/>
      <c r="B47" s="22"/>
      <c r="C47" s="20"/>
      <c r="E47" s="30"/>
    </row>
    <row r="48" spans="1:9">
      <c r="A48" s="22"/>
      <c r="B48" s="22"/>
      <c r="C48" s="20"/>
      <c r="E48" s="30"/>
    </row>
    <row r="49" spans="1:5">
      <c r="A49" s="22"/>
      <c r="B49" s="22"/>
      <c r="C49" s="20"/>
      <c r="E49" s="30"/>
    </row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</sheetData>
  <sheetProtection algorithmName="SHA-512" hashValue="F5LGkb/0aVIiExSNWbYlAt8fVuhsfOK1SGoBECMwkal56N5n2EeGwCAAeBdcvGyVmxNOzCpOhfUju+R+bfW7jA==" saltValue="MhvEMo30hWxnn/yNNs8mJw==" spinCount="100000" sheet="1" selectLockedCells="1"/>
  <mergeCells count="35">
    <mergeCell ref="E38:I38"/>
    <mergeCell ref="A30:C30"/>
    <mergeCell ref="A38:C38"/>
    <mergeCell ref="A2:C2"/>
    <mergeCell ref="F22:F24"/>
    <mergeCell ref="G22:G24"/>
    <mergeCell ref="H22:H24"/>
    <mergeCell ref="E35:E36"/>
    <mergeCell ref="F35:F36"/>
    <mergeCell ref="G35:G36"/>
    <mergeCell ref="H35:H36"/>
    <mergeCell ref="E32:E34"/>
    <mergeCell ref="E18:E20"/>
    <mergeCell ref="F18:F20"/>
    <mergeCell ref="E22:E24"/>
    <mergeCell ref="G18:G20"/>
    <mergeCell ref="A1:I1"/>
    <mergeCell ref="E2:I2"/>
    <mergeCell ref="I11:I14"/>
    <mergeCell ref="H11:H14"/>
    <mergeCell ref="G11:G14"/>
    <mergeCell ref="F11:F14"/>
    <mergeCell ref="E11:E14"/>
    <mergeCell ref="E8:E10"/>
    <mergeCell ref="F8:F10"/>
    <mergeCell ref="G8:G10"/>
    <mergeCell ref="H8:H10"/>
    <mergeCell ref="I8:I10"/>
    <mergeCell ref="H18:H20"/>
    <mergeCell ref="I18:I20"/>
    <mergeCell ref="F32:F34"/>
    <mergeCell ref="G32:G34"/>
    <mergeCell ref="H32:H34"/>
    <mergeCell ref="I22:I24"/>
    <mergeCell ref="E30:I30"/>
  </mergeCells>
  <dataValidations count="5">
    <dataValidation type="list" allowBlank="1" showInputMessage="1" showErrorMessage="1" sqref="B33 B23" xr:uid="{C330D97A-3287-4DC6-94A6-EC49CB7FAA9F}">
      <formula1>"Oui,Non"</formula1>
    </dataValidation>
    <dataValidation type="whole" operator="lessThan" allowBlank="1" showInputMessage="1" showErrorMessage="1" error="Merci de saisir un nombre entier" sqref="B35" xr:uid="{2D11CFBD-40D0-46E7-A269-3F796B766624}">
      <formula1>200</formula1>
    </dataValidation>
    <dataValidation type="whole" operator="greaterThanOrEqual" allowBlank="1" showInputMessage="1" showErrorMessage="1" error="Merci de saisir un montant entier positif ou nul" sqref="B20" xr:uid="{F6ABB0AE-97A8-4D9F-8B86-98AF51442CAC}">
      <formula1>0</formula1>
    </dataValidation>
    <dataValidation type="whole" operator="greaterThanOrEqual" allowBlank="1" showInputMessage="1" showErrorMessage="1" error="Merci de saisir un nombre entier supérieur ou égale à 18 ans" sqref="B6" xr:uid="{3D7B4E82-D67A-4810-BA0A-4E80B38CF53A}">
      <formula1>18</formula1>
    </dataValidation>
    <dataValidation allowBlank="1" showErrorMessage="1" sqref="B10 B16 B18 B12:B14" xr:uid="{655EADE8-68C5-49AB-9556-81BA72951F60}"/>
  </dataValidations>
  <pageMargins left="0.7" right="0.7" top="0.75" bottom="0.75" header="0.3" footer="0.3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D41CCED7-61C7-4294-A220-8AC7FD53DDAE}">
          <x14:formula1>
            <xm:f>'Listes et paramètres'!$A$4:$A$9</xm:f>
          </x14:formula1>
          <xm:sqref>B9 B11 B19 B15 B17</xm:sqref>
        </x14:dataValidation>
        <x14:dataValidation type="list" allowBlank="1" showErrorMessage="1" xr:uid="{2DD02AB6-4061-49FA-B311-758065B3EDBB}">
          <x14:formula1>
            <xm:f>'Listes et paramètres'!$A$38:$A$89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showGridLines="0" zoomScale="60" zoomScaleNormal="60" workbookViewId="0">
      <selection activeCell="E15" sqref="E15"/>
    </sheetView>
  </sheetViews>
  <sheetFormatPr baseColWidth="10" defaultColWidth="12.54296875" defaultRowHeight="15" customHeight="1" outlineLevelRow="1"/>
  <cols>
    <col min="1" max="1" width="50.08984375" bestFit="1" customWidth="1"/>
    <col min="2" max="2" width="32.1796875" customWidth="1"/>
    <col min="3" max="3" width="5" customWidth="1"/>
    <col min="4" max="4" width="3.54296875" customWidth="1"/>
    <col min="5" max="5" width="28.453125" customWidth="1"/>
    <col min="6" max="6" width="12.6328125" bestFit="1" customWidth="1"/>
    <col min="7" max="7" width="24.453125" customWidth="1"/>
    <col min="8" max="8" width="2.81640625" customWidth="1"/>
    <col min="9" max="9" width="25.54296875" customWidth="1"/>
    <col min="10" max="10" width="3.26953125" customWidth="1"/>
    <col min="11" max="11" width="25.54296875" customWidth="1"/>
    <col min="12" max="12" width="3.1796875" customWidth="1"/>
    <col min="13" max="13" width="26.54296875" customWidth="1"/>
    <col min="14" max="14" width="11.81640625" customWidth="1"/>
    <col min="15" max="26" width="10.54296875" customWidth="1"/>
  </cols>
  <sheetData>
    <row r="1" spans="1:14" ht="14.25" customHeight="1" outlineLevel="1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9"/>
    </row>
    <row r="2" spans="1:14" ht="7.5" customHeight="1" outlineLevel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4.25" customHeight="1" outlineLevel="1">
      <c r="A3" s="100" t="s">
        <v>19</v>
      </c>
      <c r="B3" s="99"/>
      <c r="N3" s="8"/>
    </row>
    <row r="4" spans="1:14" ht="7.5" customHeight="1" outlineLevel="1">
      <c r="A4" s="7"/>
      <c r="N4" s="8"/>
    </row>
    <row r="5" spans="1:14" ht="14.25" customHeight="1" outlineLevel="1">
      <c r="A5" s="11" t="s">
        <v>20</v>
      </c>
      <c r="B5" s="12">
        <f>SUM(Calculs!C2:C63)</f>
        <v>4680000</v>
      </c>
      <c r="C5" s="10"/>
      <c r="D5" s="10"/>
      <c r="N5" s="8"/>
    </row>
    <row r="6" spans="1:14" ht="14.25" customHeight="1" outlineLevel="1">
      <c r="A6" s="11" t="s">
        <v>36</v>
      </c>
      <c r="B6" s="12">
        <f>-SUM(Calculs!D2:D63)</f>
        <v>-93600</v>
      </c>
      <c r="C6" s="10"/>
      <c r="D6" s="10"/>
      <c r="N6" s="8"/>
    </row>
    <row r="7" spans="1:14" ht="14.25" customHeight="1" outlineLevel="1">
      <c r="A7" s="11" t="s">
        <v>48</v>
      </c>
      <c r="B7" s="12">
        <f>-SUM(Calculs!E2:E63)</f>
        <v>-46800</v>
      </c>
      <c r="C7" s="10"/>
      <c r="D7" s="10"/>
      <c r="N7" s="8"/>
    </row>
    <row r="8" spans="1:14" ht="14.25" customHeight="1" outlineLevel="1">
      <c r="A8" s="11" t="s">
        <v>67</v>
      </c>
      <c r="B8" s="12">
        <f>-SUM(Calculs!F2:F63)</f>
        <v>0</v>
      </c>
      <c r="C8" s="10"/>
      <c r="D8" s="10"/>
      <c r="E8" t="s">
        <v>66</v>
      </c>
      <c r="F8" s="27">
        <f>SUM(Calculs!N:N)</f>
        <v>4500000</v>
      </c>
      <c r="N8" s="8"/>
    </row>
    <row r="9" spans="1:14" ht="14.25" customHeight="1" outlineLevel="1">
      <c r="A9" s="9" t="s">
        <v>21</v>
      </c>
      <c r="B9" s="13">
        <f>B5+B6+B7+B8</f>
        <v>4539600</v>
      </c>
      <c r="C9" s="10"/>
      <c r="D9" s="10"/>
      <c r="E9" t="s">
        <v>60</v>
      </c>
      <c r="F9" s="27">
        <f>SUM(Calculs!K:K)</f>
        <v>0</v>
      </c>
      <c r="N9" s="8"/>
    </row>
    <row r="10" spans="1:14" ht="14.25" customHeight="1" outlineLevel="1">
      <c r="A10" s="9" t="s">
        <v>22</v>
      </c>
      <c r="B10" s="13">
        <f>SUM(Calculs!H2:H63)</f>
        <v>2798814.120061846</v>
      </c>
      <c r="C10" s="10"/>
      <c r="D10" s="10"/>
      <c r="E10" t="s">
        <v>61</v>
      </c>
      <c r="F10" s="27">
        <f>SUM(Calculs!L:L)</f>
        <v>6918632.751501251</v>
      </c>
      <c r="N10" s="8"/>
    </row>
    <row r="11" spans="1:14" ht="14.25" customHeight="1" outlineLevel="1">
      <c r="A11" s="9" t="s">
        <v>23</v>
      </c>
      <c r="B11" s="13">
        <f>B5+B10+B6+B7+B8</f>
        <v>7338414.1200618464</v>
      </c>
      <c r="C11" s="10"/>
      <c r="D11" s="10"/>
      <c r="E11" t="s">
        <v>53</v>
      </c>
      <c r="F11" s="27">
        <f>SUM(Calculs!M:M)</f>
        <v>6918632.751501251</v>
      </c>
      <c r="G11" s="14"/>
      <c r="H11" s="15"/>
      <c r="N11" s="8"/>
    </row>
    <row r="12" spans="1:14" ht="14.25" customHeight="1" outlineLevel="1">
      <c r="A12" s="11" t="s">
        <v>24</v>
      </c>
      <c r="B12" s="12">
        <f>$B$11/VLOOKUP('Simulateur de retraite'!$B$10,'Listes et paramètres'!$A$3:$G$9,5,FALSE)</f>
        <v>132936.49426224502</v>
      </c>
      <c r="C12" s="10"/>
      <c r="D12" s="10"/>
      <c r="E12" s="10"/>
      <c r="F12" s="10"/>
      <c r="G12" s="14"/>
      <c r="H12" s="15"/>
      <c r="N12" s="8"/>
    </row>
    <row r="13" spans="1:14" ht="14.25" customHeight="1" outlineLevel="1">
      <c r="A13" s="11" t="s">
        <v>25</v>
      </c>
      <c r="B13" s="12">
        <f>$B$11/VLOOKUP('Simulateur de retraite'!$B$10,'Listes et paramètres'!$A$3:$G$9,6,FALSE)</f>
        <v>72170.700775716279</v>
      </c>
      <c r="C13" s="10"/>
      <c r="D13" s="10"/>
      <c r="E13" s="10"/>
      <c r="F13" s="10"/>
      <c r="G13" s="14"/>
      <c r="H13" s="15"/>
      <c r="N13" s="8"/>
    </row>
    <row r="14" spans="1:14" ht="14.25" customHeight="1" outlineLevel="1">
      <c r="A14" s="11" t="s">
        <v>26</v>
      </c>
      <c r="B14" s="12">
        <f>$B$11/VLOOKUP('Simulateur de retraite'!$B$10,'Listes et paramètres'!$A$3:$G$9,7,FALSE)</f>
        <v>52113.729344442501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6"/>
    </row>
    <row r="15" spans="1:14" ht="14.25" customHeight="1" outlineLevel="1">
      <c r="A15" s="11" t="s">
        <v>70</v>
      </c>
      <c r="B15" s="12">
        <f>$B$11/VLOOKUP('Simulateur de retraite'!$B$10,'Listes et paramètres'!$A$3:$H$9,8,FALSE)</f>
        <v>42231.790180275435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6"/>
    </row>
    <row r="16" spans="1:14" ht="14.25" customHeight="1" outlineLevel="1">
      <c r="A16" s="11" t="s">
        <v>27</v>
      </c>
      <c r="B16" s="12">
        <f>$B$11/VLOOKUP('Simulateur de retraite'!$B$10,'Listes et paramètres'!$A$3:$G$9,4,FALSE)</f>
        <v>30438.050617703248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6"/>
    </row>
    <row r="17" ht="14.25" customHeight="1" outlineLevel="1"/>
    <row r="18" ht="14.25" customHeight="1" outlineLevel="1"/>
  </sheetData>
  <mergeCells count="2">
    <mergeCell ref="A1:N1"/>
    <mergeCell ref="A3:B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zoomScale="70" zoomScaleNormal="70" workbookViewId="0">
      <selection activeCell="K21" sqref="K21"/>
    </sheetView>
  </sheetViews>
  <sheetFormatPr baseColWidth="10" defaultColWidth="12.54296875" defaultRowHeight="15" customHeight="1"/>
  <cols>
    <col min="1" max="3" width="10.54296875" customWidth="1"/>
    <col min="4" max="4" width="13" customWidth="1"/>
    <col min="5" max="5" width="22.1796875" bestFit="1" customWidth="1"/>
    <col min="6" max="6" width="10.81640625" bestFit="1" customWidth="1"/>
    <col min="7" max="7" width="13.453125" customWidth="1"/>
    <col min="8" max="8" width="12.81640625" customWidth="1"/>
    <col min="9" max="9" width="14.7265625" bestFit="1" customWidth="1"/>
    <col min="10" max="11" width="13.453125" customWidth="1"/>
    <col min="12" max="12" width="17.7265625" bestFit="1" customWidth="1"/>
    <col min="13" max="13" width="17" bestFit="1" customWidth="1"/>
    <col min="14" max="26" width="10.54296875" customWidth="1"/>
  </cols>
  <sheetData>
    <row r="1" spans="1:14" ht="14.25" customHeight="1">
      <c r="A1" s="1" t="s">
        <v>28</v>
      </c>
      <c r="B1" s="1" t="s">
        <v>29</v>
      </c>
      <c r="C1" s="1" t="s">
        <v>30</v>
      </c>
      <c r="D1" s="1" t="s">
        <v>31</v>
      </c>
      <c r="E1" s="1" t="s">
        <v>37</v>
      </c>
      <c r="F1" s="1" t="s">
        <v>51</v>
      </c>
      <c r="G1" s="1" t="s">
        <v>32</v>
      </c>
      <c r="H1" s="1" t="s">
        <v>33</v>
      </c>
      <c r="I1" s="28" t="s">
        <v>34</v>
      </c>
      <c r="J1" s="1" t="s">
        <v>57</v>
      </c>
      <c r="K1" s="1" t="s">
        <v>53</v>
      </c>
      <c r="L1" s="1" t="s">
        <v>58</v>
      </c>
      <c r="M1" s="28" t="s">
        <v>59</v>
      </c>
      <c r="N1" s="7" t="s">
        <v>65</v>
      </c>
    </row>
    <row r="2" spans="1:14" ht="14.25" customHeight="1">
      <c r="A2" s="1">
        <v>2026</v>
      </c>
      <c r="B2" s="1">
        <f>'Simulateur de retraite'!$B$6</f>
        <v>20</v>
      </c>
      <c r="C2" s="17">
        <f>IF(B2&lt;'Simulateur de retraite'!$B$16,'Simulateur de retraite'!$B$12+'Simulateur de retraite'!$B$14+'Simulateur de retraite'!$B$20,0)*12</f>
        <v>180000</v>
      </c>
      <c r="D2" s="17">
        <f>C2*'Listes et paramètres'!$B$14</f>
        <v>3600</v>
      </c>
      <c r="E2" s="17">
        <f>C2*'Listes et paramètres'!$B$15</f>
        <v>1800</v>
      </c>
      <c r="F2" s="17">
        <f>IF(B2&lt;'Simulateur de retraite'!$B$16,'Simulateur de retraite'!$B$28,0)</f>
        <v>0</v>
      </c>
      <c r="G2" s="17">
        <f>C2-D2-E2-F2</f>
        <v>174600</v>
      </c>
      <c r="H2" s="18">
        <f>G2*((1+'Simulateur de retraite'!$B$4)^(1/2)-1)</f>
        <v>3029.2222580507723</v>
      </c>
      <c r="I2" s="29">
        <f>G2+H2</f>
        <v>177629.22225805078</v>
      </c>
      <c r="J2" s="17" t="b">
        <f>IF('Simulateur de retraite'!$B$33="Oui",AND('Simulateur de retraite'!$B$35=B2,0&lt;H2))</f>
        <v>0</v>
      </c>
      <c r="K2" s="17">
        <f>IF(AND(J2,'Simulateur de retraite'!$B$23="Oui"),'Simulateur de retraite'!$B$25,0)</f>
        <v>0</v>
      </c>
      <c r="L2" s="18">
        <f>I2*J2</f>
        <v>0</v>
      </c>
      <c r="M2" s="29">
        <f>K2+L2</f>
        <v>0</v>
      </c>
      <c r="N2" s="31">
        <f>SUM($C$2:C2)*J2</f>
        <v>0</v>
      </c>
    </row>
    <row r="3" spans="1:14" ht="14.25" customHeight="1">
      <c r="A3" s="1">
        <f t="shared" ref="A3:B3" si="0">A2+1</f>
        <v>2027</v>
      </c>
      <c r="B3" s="1">
        <f t="shared" si="0"/>
        <v>21</v>
      </c>
      <c r="C3" s="17">
        <f>IF(B3&lt;'Simulateur de retraite'!$B$16,'Simulateur de retraite'!$B$12+'Simulateur de retraite'!$B$14+'Simulateur de retraite'!$B$20,0)*12</f>
        <v>180000</v>
      </c>
      <c r="D3" s="17">
        <f>C3*'Listes et paramètres'!$B$14</f>
        <v>3600</v>
      </c>
      <c r="E3" s="17">
        <f>C3*'Listes et paramètres'!$B$15</f>
        <v>1800</v>
      </c>
      <c r="F3" s="17">
        <f>IF(B3&lt;'Simulateur de retraite'!$B$16,'Simulateur de retraite'!$B$28,0)</f>
        <v>0</v>
      </c>
      <c r="G3" s="17">
        <f t="shared" ref="G3:G63" si="1">C3-D3-E3-F3</f>
        <v>174600</v>
      </c>
      <c r="H3" s="18">
        <f>IF(B3&lt;'Simulateur de retraite'!$B$18,G3*((1+'Simulateur de retraite'!$B$4)^(1/2)-1)+I2*'Simulateur de retraite'!$B$4,0)</f>
        <v>9246.24503708255</v>
      </c>
      <c r="I3" s="29">
        <f t="shared" ref="I3:I63" si="2">G3+H3+I2</f>
        <v>361475.46729513333</v>
      </c>
      <c r="J3" s="17" t="b">
        <f>IF('Simulateur de retraite'!$B$33="Oui",AND('Simulateur de retraite'!$B$35=B3,0&lt;H3))</f>
        <v>0</v>
      </c>
      <c r="K3" s="17">
        <f>IF(AND(J3,'Simulateur de retraite'!$B$23="Oui"),'Simulateur de retraite'!$B$25,0)</f>
        <v>0</v>
      </c>
      <c r="L3" s="18">
        <f t="shared" ref="L3:L63" si="3">I3*J3</f>
        <v>0</v>
      </c>
      <c r="M3" s="29">
        <f t="shared" ref="M3:M63" si="4">K3+L3</f>
        <v>0</v>
      </c>
      <c r="N3" s="31">
        <f>SUM($C$2:C3)*J3</f>
        <v>0</v>
      </c>
    </row>
    <row r="4" spans="1:14" ht="14.25" customHeight="1">
      <c r="A4" s="1">
        <f t="shared" ref="A4:B4" si="5">A3+1</f>
        <v>2028</v>
      </c>
      <c r="B4" s="1">
        <f t="shared" si="5"/>
        <v>22</v>
      </c>
      <c r="C4" s="17">
        <f>IF(B4&lt;'Simulateur de retraite'!$B$16,'Simulateur de retraite'!$B$12+'Simulateur de retraite'!$B$14+'Simulateur de retraite'!$B$20,0)*12</f>
        <v>180000</v>
      </c>
      <c r="D4" s="17">
        <f>C4*'Listes et paramètres'!$B$14</f>
        <v>3600</v>
      </c>
      <c r="E4" s="17">
        <f>C4*'Listes et paramètres'!$B$15</f>
        <v>1800</v>
      </c>
      <c r="F4" s="17">
        <f>IF(B4&lt;'Simulateur de retraite'!$B$16,'Simulateur de retraite'!$B$28,0)</f>
        <v>0</v>
      </c>
      <c r="G4" s="17">
        <f t="shared" si="1"/>
        <v>174600</v>
      </c>
      <c r="H4" s="18">
        <f>IF(B4&lt;'Simulateur de retraite'!$B$18,G4*((1+'Simulateur de retraite'!$B$4)^(1/2)-1)+I3*'Simulateur de retraite'!$B$4,0)</f>
        <v>15680.863613380439</v>
      </c>
      <c r="I4" s="29">
        <f t="shared" si="2"/>
        <v>551756.33090851374</v>
      </c>
      <c r="J4" s="17" t="b">
        <f>IF('Simulateur de retraite'!$B$33="Oui",AND('Simulateur de retraite'!$B$35=B4,0&lt;H4))</f>
        <v>0</v>
      </c>
      <c r="K4" s="17">
        <f>IF(AND(J4,'Simulateur de retraite'!$B$23="Oui"),'Simulateur de retraite'!$B$25,0)</f>
        <v>0</v>
      </c>
      <c r="L4" s="18">
        <f t="shared" si="3"/>
        <v>0</v>
      </c>
      <c r="M4" s="29">
        <f t="shared" si="4"/>
        <v>0</v>
      </c>
      <c r="N4" s="31">
        <f>SUM($C$2:C4)*J4</f>
        <v>0</v>
      </c>
    </row>
    <row r="5" spans="1:14" ht="14.25" customHeight="1">
      <c r="A5" s="1">
        <f t="shared" ref="A5:B5" si="6">A4+1</f>
        <v>2029</v>
      </c>
      <c r="B5" s="1">
        <f t="shared" si="6"/>
        <v>23</v>
      </c>
      <c r="C5" s="17">
        <f>IF(B5&lt;'Simulateur de retraite'!$B$16,'Simulateur de retraite'!$B$12+'Simulateur de retraite'!$B$14+'Simulateur de retraite'!$B$20,0)*12</f>
        <v>180000</v>
      </c>
      <c r="D5" s="17">
        <f>C5*'Listes et paramètres'!$B$14</f>
        <v>3600</v>
      </c>
      <c r="E5" s="17">
        <f>C5*'Listes et paramètres'!$B$15</f>
        <v>1800</v>
      </c>
      <c r="F5" s="17">
        <f>IF(B5&lt;'Simulateur de retraite'!$B$16,'Simulateur de retraite'!$B$28,0)</f>
        <v>0</v>
      </c>
      <c r="G5" s="17">
        <f t="shared" si="1"/>
        <v>174600</v>
      </c>
      <c r="H5" s="18">
        <f>IF(B5&lt;'Simulateur de retraite'!$B$18,G5*((1+'Simulateur de retraite'!$B$4)^(1/2)-1)+I4*'Simulateur de retraite'!$B$4,0)</f>
        <v>22340.693839848755</v>
      </c>
      <c r="I5" s="29">
        <f t="shared" si="2"/>
        <v>748697.02474836248</v>
      </c>
      <c r="J5" s="17" t="b">
        <f>IF('Simulateur de retraite'!$B$33="Oui",AND('Simulateur de retraite'!$B$35=B5,0&lt;H5))</f>
        <v>0</v>
      </c>
      <c r="K5" s="17">
        <f>IF(AND(J5,'Simulateur de retraite'!$B$23="Oui"),'Simulateur de retraite'!$B$25,0)</f>
        <v>0</v>
      </c>
      <c r="L5" s="18">
        <f t="shared" si="3"/>
        <v>0</v>
      </c>
      <c r="M5" s="29">
        <f t="shared" si="4"/>
        <v>0</v>
      </c>
      <c r="N5" s="31">
        <f>SUM($C$2:C5)*J5</f>
        <v>0</v>
      </c>
    </row>
    <row r="6" spans="1:14" ht="14.25" customHeight="1">
      <c r="A6" s="1">
        <f t="shared" ref="A6:B6" si="7">A5+1</f>
        <v>2030</v>
      </c>
      <c r="B6" s="1">
        <f t="shared" si="7"/>
        <v>24</v>
      </c>
      <c r="C6" s="17">
        <f>IF(B6&lt;'Simulateur de retraite'!$B$16,'Simulateur de retraite'!$B$12+'Simulateur de retraite'!$B$14+'Simulateur de retraite'!$B$20,0)*12</f>
        <v>180000</v>
      </c>
      <c r="D6" s="17">
        <f>C6*'Listes et paramètres'!$B$14</f>
        <v>3600</v>
      </c>
      <c r="E6" s="17">
        <f>C6*'Listes et paramètres'!$B$15</f>
        <v>1800</v>
      </c>
      <c r="F6" s="17">
        <f>IF(B6&lt;'Simulateur de retraite'!$B$16,'Simulateur de retraite'!$B$28,0)</f>
        <v>0</v>
      </c>
      <c r="G6" s="17">
        <f t="shared" si="1"/>
        <v>174600</v>
      </c>
      <c r="H6" s="18">
        <f>IF(B6&lt;'Simulateur de retraite'!$B$18,G6*((1+'Simulateur de retraite'!$B$4)^(1/2)-1)+I5*'Simulateur de retraite'!$B$4,0)</f>
        <v>29233.618124243461</v>
      </c>
      <c r="I6" s="29">
        <f t="shared" si="2"/>
        <v>952530.64287260594</v>
      </c>
      <c r="J6" s="17" t="b">
        <f>IF('Simulateur de retraite'!$B$33="Oui",AND('Simulateur de retraite'!$B$35=B6,0&lt;H6))</f>
        <v>0</v>
      </c>
      <c r="K6" s="17">
        <f>IF(AND(J6,'Simulateur de retraite'!$B$23="Oui"),'Simulateur de retraite'!$B$25,0)</f>
        <v>0</v>
      </c>
      <c r="L6" s="18">
        <f t="shared" si="3"/>
        <v>0</v>
      </c>
      <c r="M6" s="29">
        <f t="shared" si="4"/>
        <v>0</v>
      </c>
      <c r="N6" s="31">
        <f>SUM($C$2:C6)*J6</f>
        <v>0</v>
      </c>
    </row>
    <row r="7" spans="1:14" ht="14.25" customHeight="1">
      <c r="A7" s="1">
        <f t="shared" ref="A7:B7" si="8">A6+1</f>
        <v>2031</v>
      </c>
      <c r="B7" s="1">
        <f t="shared" si="8"/>
        <v>25</v>
      </c>
      <c r="C7" s="17">
        <f>IF(B7&lt;'Simulateur de retraite'!$B$16,'Simulateur de retraite'!$B$12+'Simulateur de retraite'!$B$14+'Simulateur de retraite'!$B$20,0)*12</f>
        <v>180000</v>
      </c>
      <c r="D7" s="17">
        <f>C7*'Listes et paramètres'!$B$14</f>
        <v>3600</v>
      </c>
      <c r="E7" s="17">
        <f>C7*'Listes et paramètres'!$B$15</f>
        <v>1800</v>
      </c>
      <c r="F7" s="17">
        <f>IF(B7&lt;'Simulateur de retraite'!$B$16,'Simulateur de retraite'!$B$28,0)</f>
        <v>0</v>
      </c>
      <c r="G7" s="17">
        <f t="shared" si="1"/>
        <v>174600</v>
      </c>
      <c r="H7" s="18">
        <f>IF(B7&lt;'Simulateur de retraite'!$B$18,G7*((1+'Simulateur de retraite'!$B$4)^(1/2)-1)+I6*'Simulateur de retraite'!$B$4,0)</f>
        <v>36367.794758591983</v>
      </c>
      <c r="I7" s="29">
        <f t="shared" si="2"/>
        <v>1163498.437631198</v>
      </c>
      <c r="J7" s="17" t="b">
        <f>IF('Simulateur de retraite'!$B$33="Oui",AND('Simulateur de retraite'!$B$35=B7,0&lt;H7))</f>
        <v>0</v>
      </c>
      <c r="K7" s="17">
        <f>IF(AND(J7,'Simulateur de retraite'!$B$23="Oui"),'Simulateur de retraite'!$B$25,0)</f>
        <v>0</v>
      </c>
      <c r="L7" s="18">
        <f t="shared" si="3"/>
        <v>0</v>
      </c>
      <c r="M7" s="29">
        <f t="shared" si="4"/>
        <v>0</v>
      </c>
      <c r="N7" s="31">
        <f>SUM($C$2:C7)*J7</f>
        <v>0</v>
      </c>
    </row>
    <row r="8" spans="1:14" ht="14.25" customHeight="1">
      <c r="A8" s="1">
        <f t="shared" ref="A8:B8" si="9">A7+1</f>
        <v>2032</v>
      </c>
      <c r="B8" s="1">
        <f t="shared" si="9"/>
        <v>26</v>
      </c>
      <c r="C8" s="17">
        <f>IF(B8&lt;'Simulateur de retraite'!$B$16,'Simulateur de retraite'!$B$12+'Simulateur de retraite'!$B$14+'Simulateur de retraite'!$B$20,0)*12</f>
        <v>180000</v>
      </c>
      <c r="D8" s="17">
        <f>C8*'Listes et paramètres'!$B$14</f>
        <v>3600</v>
      </c>
      <c r="E8" s="17">
        <f>C8*'Listes et paramètres'!$B$15</f>
        <v>1800</v>
      </c>
      <c r="F8" s="17">
        <f>IF(B8&lt;'Simulateur de retraite'!$B$16,'Simulateur de retraite'!$B$28,0)</f>
        <v>0</v>
      </c>
      <c r="G8" s="17">
        <f t="shared" si="1"/>
        <v>174600</v>
      </c>
      <c r="H8" s="18">
        <f>IF(B8&lt;'Simulateur de retraite'!$B$18,G8*((1+'Simulateur de retraite'!$B$4)^(1/2)-1)+I7*'Simulateur de retraite'!$B$4,0)</f>
        <v>43751.667575142703</v>
      </c>
      <c r="I8" s="29">
        <f t="shared" si="2"/>
        <v>1381850.1052063406</v>
      </c>
      <c r="J8" s="17" t="b">
        <f>IF('Simulateur de retraite'!$B$33="Oui",AND('Simulateur de retraite'!$B$35=B8,0&lt;H8))</f>
        <v>0</v>
      </c>
      <c r="K8" s="17">
        <f>IF(AND(J8,'Simulateur de retraite'!$B$23="Oui"),'Simulateur de retraite'!$B$25,0)</f>
        <v>0</v>
      </c>
      <c r="L8" s="18">
        <f t="shared" si="3"/>
        <v>0</v>
      </c>
      <c r="M8" s="29">
        <f t="shared" si="4"/>
        <v>0</v>
      </c>
      <c r="N8" s="31">
        <f>SUM($C$2:C8)*J8</f>
        <v>0</v>
      </c>
    </row>
    <row r="9" spans="1:14" ht="14.25" customHeight="1">
      <c r="A9" s="1">
        <f t="shared" ref="A9:B9" si="10">A8+1</f>
        <v>2033</v>
      </c>
      <c r="B9" s="1">
        <f t="shared" si="10"/>
        <v>27</v>
      </c>
      <c r="C9" s="17">
        <f>IF(B9&lt;'Simulateur de retraite'!$B$16,'Simulateur de retraite'!$B$12+'Simulateur de retraite'!$B$14+'Simulateur de retraite'!$B$20,0)*12</f>
        <v>180000</v>
      </c>
      <c r="D9" s="17">
        <f>C9*'Listes et paramètres'!$B$14</f>
        <v>3600</v>
      </c>
      <c r="E9" s="17">
        <f>C9*'Listes et paramètres'!$B$15</f>
        <v>1800</v>
      </c>
      <c r="F9" s="17">
        <f>IF(B9&lt;'Simulateur de retraite'!$B$16,'Simulateur de retraite'!$B$28,0)</f>
        <v>0</v>
      </c>
      <c r="G9" s="17">
        <f t="shared" si="1"/>
        <v>174600</v>
      </c>
      <c r="H9" s="18">
        <f>IF(B9&lt;'Simulateur de retraite'!$B$18,G9*((1+'Simulateur de retraite'!$B$4)^(1/2)-1)+I8*'Simulateur de retraite'!$B$4,0)</f>
        <v>51393.9759402727</v>
      </c>
      <c r="I9" s="29">
        <f t="shared" si="2"/>
        <v>1607844.0811466132</v>
      </c>
      <c r="J9" s="17" t="b">
        <f>IF('Simulateur de retraite'!$B$33="Oui",AND('Simulateur de retraite'!$B$35=B9,0&lt;H9))</f>
        <v>0</v>
      </c>
      <c r="K9" s="17">
        <f>IF(AND(J9,'Simulateur de retraite'!$B$23="Oui"),'Simulateur de retraite'!$B$25,0)</f>
        <v>0</v>
      </c>
      <c r="L9" s="18">
        <f t="shared" si="3"/>
        <v>0</v>
      </c>
      <c r="M9" s="29">
        <f t="shared" si="4"/>
        <v>0</v>
      </c>
      <c r="N9" s="31">
        <f>SUM($C$2:C9)*J9</f>
        <v>0</v>
      </c>
    </row>
    <row r="10" spans="1:14" ht="14.25" customHeight="1">
      <c r="A10" s="1">
        <f t="shared" ref="A10:B10" si="11">A9+1</f>
        <v>2034</v>
      </c>
      <c r="B10" s="1">
        <f t="shared" si="11"/>
        <v>28</v>
      </c>
      <c r="C10" s="17">
        <f>IF(B10&lt;'Simulateur de retraite'!$B$16,'Simulateur de retraite'!$B$12+'Simulateur de retraite'!$B$14+'Simulateur de retraite'!$B$20,0)*12</f>
        <v>180000</v>
      </c>
      <c r="D10" s="17">
        <f>C10*'Listes et paramètres'!$B$14</f>
        <v>3600</v>
      </c>
      <c r="E10" s="17">
        <f>C10*'Listes et paramètres'!$B$15</f>
        <v>1800</v>
      </c>
      <c r="F10" s="17">
        <f>IF(B10&lt;'Simulateur de retraite'!$B$16,'Simulateur de retraite'!$B$28,0)</f>
        <v>0</v>
      </c>
      <c r="G10" s="17">
        <f t="shared" si="1"/>
        <v>174600</v>
      </c>
      <c r="H10" s="18">
        <f>IF(B10&lt;'Simulateur de retraite'!$B$18,G10*((1+'Simulateur de retraite'!$B$4)^(1/2)-1)+I9*'Simulateur de retraite'!$B$4,0)</f>
        <v>59303.765098182244</v>
      </c>
      <c r="I10" s="29">
        <f t="shared" si="2"/>
        <v>1841747.8462447955</v>
      </c>
      <c r="J10" s="17" t="b">
        <f>IF('Simulateur de retraite'!$B$33="Oui",AND('Simulateur de retraite'!$B$35=B10,0&lt;H10))</f>
        <v>0</v>
      </c>
      <c r="K10" s="17">
        <f>IF(AND(J10,'Simulateur de retraite'!$B$23="Oui"),'Simulateur de retraite'!$B$25,0)</f>
        <v>0</v>
      </c>
      <c r="L10" s="18">
        <f t="shared" si="3"/>
        <v>0</v>
      </c>
      <c r="M10" s="29">
        <f t="shared" si="4"/>
        <v>0</v>
      </c>
      <c r="N10" s="31">
        <f>SUM($C$2:C10)*J10</f>
        <v>0</v>
      </c>
    </row>
    <row r="11" spans="1:14" ht="14.25" customHeight="1">
      <c r="A11" s="1">
        <f t="shared" ref="A11:B11" si="12">A10+1</f>
        <v>2035</v>
      </c>
      <c r="B11" s="1">
        <f t="shared" si="12"/>
        <v>29</v>
      </c>
      <c r="C11" s="17">
        <f>IF(B11&lt;'Simulateur de retraite'!$B$16,'Simulateur de retraite'!$B$12+'Simulateur de retraite'!$B$14+'Simulateur de retraite'!$B$20,0)*12</f>
        <v>180000</v>
      </c>
      <c r="D11" s="17">
        <f>C11*'Listes et paramètres'!$B$14</f>
        <v>3600</v>
      </c>
      <c r="E11" s="17">
        <f>C11*'Listes et paramètres'!$B$15</f>
        <v>1800</v>
      </c>
      <c r="F11" s="17">
        <f>IF(B11&lt;'Simulateur de retraite'!$B$16,'Simulateur de retraite'!$B$28,0)</f>
        <v>0</v>
      </c>
      <c r="G11" s="17">
        <f t="shared" si="1"/>
        <v>174600</v>
      </c>
      <c r="H11" s="18">
        <f>IF(B11&lt;'Simulateur de retraite'!$B$18,G11*((1+'Simulateur de retraite'!$B$4)^(1/2)-1)+I10*'Simulateur de retraite'!$B$4,0)</f>
        <v>67490.396876618615</v>
      </c>
      <c r="I11" s="29">
        <f t="shared" si="2"/>
        <v>2083838.243121414</v>
      </c>
      <c r="J11" s="17" t="b">
        <f>IF('Simulateur de retraite'!$B$33="Oui",AND('Simulateur de retraite'!$B$35=B11,0&lt;H11))</f>
        <v>0</v>
      </c>
      <c r="K11" s="17">
        <f>IF(AND(J11,'Simulateur de retraite'!$B$23="Oui"),'Simulateur de retraite'!$B$25,0)</f>
        <v>0</v>
      </c>
      <c r="L11" s="18">
        <f t="shared" si="3"/>
        <v>0</v>
      </c>
      <c r="M11" s="29">
        <f t="shared" si="4"/>
        <v>0</v>
      </c>
      <c r="N11" s="31">
        <f>SUM($C$2:C11)*J11</f>
        <v>0</v>
      </c>
    </row>
    <row r="12" spans="1:14" ht="14.25" customHeight="1">
      <c r="A12" s="1">
        <f t="shared" ref="A12:B12" si="13">A11+1</f>
        <v>2036</v>
      </c>
      <c r="B12" s="1">
        <f t="shared" si="13"/>
        <v>30</v>
      </c>
      <c r="C12" s="17">
        <f>IF(B12&lt;'Simulateur de retraite'!$B$16,'Simulateur de retraite'!$B$12+'Simulateur de retraite'!$B$14+'Simulateur de retraite'!$B$20,0)*12</f>
        <v>180000</v>
      </c>
      <c r="D12" s="17">
        <f>C12*'Listes et paramètres'!$B$14</f>
        <v>3600</v>
      </c>
      <c r="E12" s="17">
        <f>C12*'Listes et paramètres'!$B$15</f>
        <v>1800</v>
      </c>
      <c r="F12" s="17">
        <f>IF(B12&lt;'Simulateur de retraite'!$B$16,'Simulateur de retraite'!$B$28,0)</f>
        <v>0</v>
      </c>
      <c r="G12" s="17">
        <f t="shared" si="1"/>
        <v>174600</v>
      </c>
      <c r="H12" s="18">
        <f>IF(B12&lt;'Simulateur de retraite'!$B$18,G12*((1+'Simulateur de retraite'!$B$4)^(1/2)-1)+I11*'Simulateur de retraite'!$B$4,0)</f>
        <v>75963.560767300267</v>
      </c>
      <c r="I12" s="29">
        <f t="shared" si="2"/>
        <v>2334401.8038887144</v>
      </c>
      <c r="J12" s="17" t="b">
        <f>IF('Simulateur de retraite'!$B$33="Oui",AND('Simulateur de retraite'!$B$35=B12,0&lt;H12))</f>
        <v>0</v>
      </c>
      <c r="K12" s="17">
        <f>IF(AND(J12,'Simulateur de retraite'!$B$23="Oui"),'Simulateur de retraite'!$B$25,0)</f>
        <v>0</v>
      </c>
      <c r="L12" s="18">
        <f>I12*J12</f>
        <v>0</v>
      </c>
      <c r="M12" s="29">
        <f t="shared" si="4"/>
        <v>0</v>
      </c>
      <c r="N12" s="31">
        <f>SUM($C$2:C12)*J12</f>
        <v>0</v>
      </c>
    </row>
    <row r="13" spans="1:14" ht="14.25" customHeight="1">
      <c r="A13" s="1">
        <f t="shared" ref="A13:B13" si="14">A12+1</f>
        <v>2037</v>
      </c>
      <c r="B13" s="1">
        <f t="shared" si="14"/>
        <v>31</v>
      </c>
      <c r="C13" s="17">
        <f>IF(B13&lt;'Simulateur de retraite'!$B$16,'Simulateur de retraite'!$B$12+'Simulateur de retraite'!$B$14+'Simulateur de retraite'!$B$20,0)*12</f>
        <v>180000</v>
      </c>
      <c r="D13" s="17">
        <f>C13*'Listes et paramètres'!$B$14</f>
        <v>3600</v>
      </c>
      <c r="E13" s="17">
        <f>C13*'Listes et paramètres'!$B$15</f>
        <v>1800</v>
      </c>
      <c r="F13" s="17">
        <f>IF(B13&lt;'Simulateur de retraite'!$B$16,'Simulateur de retraite'!$B$28,0)</f>
        <v>0</v>
      </c>
      <c r="G13" s="17">
        <f t="shared" si="1"/>
        <v>174600</v>
      </c>
      <c r="H13" s="18">
        <f>IF(B13&lt;'Simulateur de retraite'!$B$18,G13*((1+'Simulateur de retraite'!$B$4)^(1/2)-1)+I12*'Simulateur de retraite'!$B$4,0)</f>
        <v>84733.285394155784</v>
      </c>
      <c r="I13" s="29">
        <f t="shared" si="2"/>
        <v>2593735.0892828703</v>
      </c>
      <c r="J13" s="17" t="b">
        <f>IF('Simulateur de retraite'!$B$33="Oui",AND('Simulateur de retraite'!$B$35=B13,0&lt;H13))</f>
        <v>0</v>
      </c>
      <c r="K13" s="17">
        <f>IF(AND(J13,'Simulateur de retraite'!$B$23="Oui"),'Simulateur de retraite'!$B$25,0)</f>
        <v>0</v>
      </c>
      <c r="L13" s="18">
        <f>I13*J13</f>
        <v>0</v>
      </c>
      <c r="M13" s="29">
        <f t="shared" si="4"/>
        <v>0</v>
      </c>
      <c r="N13" s="31">
        <f>SUM($C$2:C13)*J13</f>
        <v>0</v>
      </c>
    </row>
    <row r="14" spans="1:14" ht="14.25" customHeight="1">
      <c r="A14" s="1">
        <f t="shared" ref="A14:B14" si="15">A13+1</f>
        <v>2038</v>
      </c>
      <c r="B14" s="1">
        <f t="shared" si="15"/>
        <v>32</v>
      </c>
      <c r="C14" s="17">
        <f>IF(B14&lt;'Simulateur de retraite'!$B$16,'Simulateur de retraite'!$B$12+'Simulateur de retraite'!$B$14+'Simulateur de retraite'!$B$20,0)*12</f>
        <v>180000</v>
      </c>
      <c r="D14" s="17">
        <f>C14*'Listes et paramètres'!$B$14</f>
        <v>3600</v>
      </c>
      <c r="E14" s="17">
        <f>C14*'Listes et paramètres'!$B$15</f>
        <v>1800</v>
      </c>
      <c r="F14" s="17">
        <f>IF(B14&lt;'Simulateur de retraite'!$B$16,'Simulateur de retraite'!$B$28,0)</f>
        <v>0</v>
      </c>
      <c r="G14" s="17">
        <f t="shared" si="1"/>
        <v>174600</v>
      </c>
      <c r="H14" s="18">
        <f>IF(B14&lt;'Simulateur de retraite'!$B$18,G14*((1+'Simulateur de retraite'!$B$4)^(1/2)-1)+I13*'Simulateur de retraite'!$B$4,0)</f>
        <v>93809.95038295124</v>
      </c>
      <c r="I14" s="29">
        <f t="shared" si="2"/>
        <v>2862145.0396658215</v>
      </c>
      <c r="J14" s="17" t="b">
        <f>IF('Simulateur de retraite'!$B$33="Oui",AND('Simulateur de retraite'!$B$35=B14,0&lt;H14))</f>
        <v>0</v>
      </c>
      <c r="K14" s="17">
        <f>IF(AND(J14,'Simulateur de retraite'!$B$23="Oui"),'Simulateur de retraite'!$B$25,0)</f>
        <v>0</v>
      </c>
      <c r="L14" s="18">
        <f t="shared" si="3"/>
        <v>0</v>
      </c>
      <c r="M14" s="29">
        <f t="shared" si="4"/>
        <v>0</v>
      </c>
      <c r="N14" s="31">
        <f>SUM($C$2:C14)*J14</f>
        <v>0</v>
      </c>
    </row>
    <row r="15" spans="1:14" ht="14.25" customHeight="1">
      <c r="A15" s="1">
        <f t="shared" ref="A15:B15" si="16">A14+1</f>
        <v>2039</v>
      </c>
      <c r="B15" s="1">
        <f t="shared" si="16"/>
        <v>33</v>
      </c>
      <c r="C15" s="17">
        <f>IF(B15&lt;'Simulateur de retraite'!$B$16,'Simulateur de retraite'!$B$12+'Simulateur de retraite'!$B$14+'Simulateur de retraite'!$B$20,0)*12</f>
        <v>180000</v>
      </c>
      <c r="D15" s="17">
        <f>C15*'Listes et paramètres'!$B$14</f>
        <v>3600</v>
      </c>
      <c r="E15" s="17">
        <f>C15*'Listes et paramètres'!$B$15</f>
        <v>1800</v>
      </c>
      <c r="F15" s="17">
        <f>IF(B15&lt;'Simulateur de retraite'!$B$16,'Simulateur de retraite'!$B$28,0)</f>
        <v>0</v>
      </c>
      <c r="G15" s="17">
        <f t="shared" si="1"/>
        <v>174600</v>
      </c>
      <c r="H15" s="18">
        <f>IF(B15&lt;'Simulateur de retraite'!$B$18,G15*((1+'Simulateur de retraite'!$B$4)^(1/2)-1)+I14*'Simulateur de retraite'!$B$4,0)</f>
        <v>103204.29864635452</v>
      </c>
      <c r="I15" s="29">
        <f t="shared" si="2"/>
        <v>3139949.3383121761</v>
      </c>
      <c r="J15" s="17" t="b">
        <f>IF('Simulateur de retraite'!$B$33="Oui",AND('Simulateur de retraite'!$B$35=B15,0&lt;H15))</f>
        <v>0</v>
      </c>
      <c r="K15" s="17">
        <f>IF(AND(J15,'Simulateur de retraite'!$B$23="Oui"),'Simulateur de retraite'!$B$25,0)</f>
        <v>0</v>
      </c>
      <c r="L15" s="18">
        <f t="shared" si="3"/>
        <v>0</v>
      </c>
      <c r="M15" s="29">
        <f t="shared" si="4"/>
        <v>0</v>
      </c>
      <c r="N15" s="31">
        <f>SUM($C$2:C15)*J15</f>
        <v>0</v>
      </c>
    </row>
    <row r="16" spans="1:14" ht="14.25" customHeight="1">
      <c r="A16" s="1">
        <f t="shared" ref="A16:B16" si="17">A15+1</f>
        <v>2040</v>
      </c>
      <c r="B16" s="1">
        <f t="shared" si="17"/>
        <v>34</v>
      </c>
      <c r="C16" s="17">
        <f>IF(B16&lt;'Simulateur de retraite'!$B$16,'Simulateur de retraite'!$B$12+'Simulateur de retraite'!$B$14+'Simulateur de retraite'!$B$20,0)*12</f>
        <v>180000</v>
      </c>
      <c r="D16" s="17">
        <f>C16*'Listes et paramètres'!$B$14</f>
        <v>3600</v>
      </c>
      <c r="E16" s="17">
        <f>C16*'Listes et paramètres'!$B$15</f>
        <v>1800</v>
      </c>
      <c r="F16" s="17">
        <f>IF(B16&lt;'Simulateur de retraite'!$B$16,'Simulateur de retraite'!$B$28,0)</f>
        <v>0</v>
      </c>
      <c r="G16" s="17">
        <f t="shared" si="1"/>
        <v>174600</v>
      </c>
      <c r="H16" s="18">
        <f>IF(B16&lt;'Simulateur de retraite'!$B$18,G16*((1+'Simulateur de retraite'!$B$4)^(1/2)-1)+I15*'Simulateur de retraite'!$B$4,0)</f>
        <v>112927.44909897694</v>
      </c>
      <c r="I16" s="29">
        <f t="shared" si="2"/>
        <v>3427476.7874111529</v>
      </c>
      <c r="J16" s="17" t="b">
        <f>IF('Simulateur de retraite'!$B$33="Oui",AND('Simulateur de retraite'!$B$35=B16,0&lt;H16))</f>
        <v>0</v>
      </c>
      <c r="K16" s="17">
        <f>IF(AND(J16,'Simulateur de retraite'!$B$23="Oui"),'Simulateur de retraite'!$B$25,0)</f>
        <v>0</v>
      </c>
      <c r="L16" s="18">
        <f t="shared" si="3"/>
        <v>0</v>
      </c>
      <c r="M16" s="29">
        <f t="shared" si="4"/>
        <v>0</v>
      </c>
      <c r="N16" s="31">
        <f>SUM($C$2:C16)*J16</f>
        <v>0</v>
      </c>
    </row>
    <row r="17" spans="1:14" ht="14.25" customHeight="1">
      <c r="A17" s="1">
        <f t="shared" ref="A17:B17" si="18">A16+1</f>
        <v>2041</v>
      </c>
      <c r="B17" s="1">
        <f t="shared" si="18"/>
        <v>35</v>
      </c>
      <c r="C17" s="17">
        <f>IF(B17&lt;'Simulateur de retraite'!$B$16,'Simulateur de retraite'!$B$12+'Simulateur de retraite'!$B$14+'Simulateur de retraite'!$B$20,0)*12</f>
        <v>180000</v>
      </c>
      <c r="D17" s="17">
        <f>C17*'Listes et paramètres'!$B$14</f>
        <v>3600</v>
      </c>
      <c r="E17" s="17">
        <f>C17*'Listes et paramètres'!$B$15</f>
        <v>1800</v>
      </c>
      <c r="F17" s="17">
        <f>IF(B17&lt;'Simulateur de retraite'!$B$16,'Simulateur de retraite'!$B$28,0)</f>
        <v>0</v>
      </c>
      <c r="G17" s="17">
        <f t="shared" si="1"/>
        <v>174600</v>
      </c>
      <c r="H17" s="18">
        <f>IF(B17&lt;'Simulateur de retraite'!$B$18,G17*((1+'Simulateur de retraite'!$B$4)^(1/2)-1)+I16*'Simulateur de retraite'!$B$4,0)</f>
        <v>122990.90981744113</v>
      </c>
      <c r="I17" s="29">
        <f t="shared" si="2"/>
        <v>3725067.6972285938</v>
      </c>
      <c r="J17" s="17" t="b">
        <f>IF('Simulateur de retraite'!$B$33="Oui",AND('Simulateur de retraite'!$B$35=B17,0&lt;H17))</f>
        <v>0</v>
      </c>
      <c r="K17" s="17">
        <f>IF(AND(J17,'Simulateur de retraite'!$B$23="Oui"),'Simulateur de retraite'!$B$25,0)</f>
        <v>0</v>
      </c>
      <c r="L17" s="18">
        <f t="shared" si="3"/>
        <v>0</v>
      </c>
      <c r="M17" s="29">
        <f t="shared" si="4"/>
        <v>0</v>
      </c>
      <c r="N17" s="31">
        <f>SUM($C$2:C17)*J17</f>
        <v>0</v>
      </c>
    </row>
    <row r="18" spans="1:14" ht="14.25" customHeight="1">
      <c r="A18" s="1">
        <f t="shared" ref="A18:B18" si="19">A17+1</f>
        <v>2042</v>
      </c>
      <c r="B18" s="1">
        <f t="shared" si="19"/>
        <v>36</v>
      </c>
      <c r="C18" s="17">
        <f>IF(B18&lt;'Simulateur de retraite'!$B$16,'Simulateur de retraite'!$B$12+'Simulateur de retraite'!$B$14+'Simulateur de retraite'!$B$20,0)*12</f>
        <v>180000</v>
      </c>
      <c r="D18" s="17">
        <f>C18*'Listes et paramètres'!$B$14</f>
        <v>3600</v>
      </c>
      <c r="E18" s="17">
        <f>C18*'Listes et paramètres'!$B$15</f>
        <v>1800</v>
      </c>
      <c r="F18" s="17">
        <f>IF(B18&lt;'Simulateur de retraite'!$B$16,'Simulateur de retraite'!$B$28,0)</f>
        <v>0</v>
      </c>
      <c r="G18" s="17">
        <f t="shared" si="1"/>
        <v>174600</v>
      </c>
      <c r="H18" s="18">
        <f>IF(B18&lt;'Simulateur de retraite'!$B$18,G18*((1+'Simulateur de retraite'!$B$4)^(1/2)-1)+I17*'Simulateur de retraite'!$B$4,0)</f>
        <v>133406.59166105156</v>
      </c>
      <c r="I18" s="29">
        <f t="shared" si="2"/>
        <v>4033074.2888896451</v>
      </c>
      <c r="J18" s="17" t="b">
        <f>IF('Simulateur de retraite'!$B$33="Oui",AND('Simulateur de retraite'!$B$35=B18,0&lt;H18))</f>
        <v>0</v>
      </c>
      <c r="K18" s="17">
        <f>IF(AND(J18,'Simulateur de retraite'!$B$23="Oui"),'Simulateur de retraite'!$B$25,0)</f>
        <v>0</v>
      </c>
      <c r="L18" s="18">
        <f t="shared" si="3"/>
        <v>0</v>
      </c>
      <c r="M18" s="29">
        <f t="shared" si="4"/>
        <v>0</v>
      </c>
      <c r="N18" s="31">
        <f>SUM($C$2:C18)*J18</f>
        <v>0</v>
      </c>
    </row>
    <row r="19" spans="1:14" ht="14.25" customHeight="1">
      <c r="A19" s="1">
        <f t="shared" ref="A19:B19" si="20">A18+1</f>
        <v>2043</v>
      </c>
      <c r="B19" s="1">
        <f t="shared" si="20"/>
        <v>37</v>
      </c>
      <c r="C19" s="17">
        <f>IF(B19&lt;'Simulateur de retraite'!$B$16,'Simulateur de retraite'!$B$12+'Simulateur de retraite'!$B$14+'Simulateur de retraite'!$B$20,0)*12</f>
        <v>180000</v>
      </c>
      <c r="D19" s="17">
        <f>C19*'Listes et paramètres'!$B$14</f>
        <v>3600</v>
      </c>
      <c r="E19" s="17">
        <f>C19*'Listes et paramètres'!$B$15</f>
        <v>1800</v>
      </c>
      <c r="F19" s="17">
        <f>IF(B19&lt;'Simulateur de retraite'!$B$16,'Simulateur de retraite'!$B$28,0)</f>
        <v>0</v>
      </c>
      <c r="G19" s="17">
        <f t="shared" si="1"/>
        <v>174600</v>
      </c>
      <c r="H19" s="18">
        <f>IF(B19&lt;'Simulateur de retraite'!$B$18,G19*((1+'Simulateur de retraite'!$B$4)^(1/2)-1)+I18*'Simulateur de retraite'!$B$4,0)</f>
        <v>144186.82236918836</v>
      </c>
      <c r="I19" s="29">
        <f t="shared" si="2"/>
        <v>4351861.1112588337</v>
      </c>
      <c r="J19" s="17" t="b">
        <f>IF('Simulateur de retraite'!$B$33="Oui",AND('Simulateur de retraite'!$B$35=B19,0&lt;H19))</f>
        <v>0</v>
      </c>
      <c r="K19" s="17">
        <f>IF(AND(J19,'Simulateur de retraite'!$B$23="Oui"),'Simulateur de retraite'!$B$25,0)</f>
        <v>0</v>
      </c>
      <c r="L19" s="18">
        <f t="shared" si="3"/>
        <v>0</v>
      </c>
      <c r="M19" s="29">
        <f t="shared" si="4"/>
        <v>0</v>
      </c>
      <c r="N19" s="31">
        <f>SUM($C$2:C19)*J19</f>
        <v>0</v>
      </c>
    </row>
    <row r="20" spans="1:14" ht="14.25" customHeight="1">
      <c r="A20" s="1">
        <f t="shared" ref="A20:B20" si="21">A19+1</f>
        <v>2044</v>
      </c>
      <c r="B20" s="1">
        <f t="shared" si="21"/>
        <v>38</v>
      </c>
      <c r="C20" s="17">
        <f>IF(B20&lt;'Simulateur de retraite'!$B$16,'Simulateur de retraite'!$B$12+'Simulateur de retraite'!$B$14+'Simulateur de retraite'!$B$20,0)*12</f>
        <v>180000</v>
      </c>
      <c r="D20" s="17">
        <f>C20*'Listes et paramètres'!$B$14</f>
        <v>3600</v>
      </c>
      <c r="E20" s="17">
        <f>C20*'Listes et paramètres'!$B$15</f>
        <v>1800</v>
      </c>
      <c r="F20" s="17">
        <f>IF(B20&lt;'Simulateur de retraite'!$B$16,'Simulateur de retraite'!$B$28,0)</f>
        <v>0</v>
      </c>
      <c r="G20" s="17">
        <f t="shared" si="1"/>
        <v>174600</v>
      </c>
      <c r="H20" s="18">
        <f>IF(B20&lt;'Simulateur de retraite'!$B$18,G20*((1+'Simulateur de retraite'!$B$4)^(1/2)-1)+I19*'Simulateur de retraite'!$B$4,0)</f>
        <v>155344.36115210998</v>
      </c>
      <c r="I20" s="29">
        <f t="shared" si="2"/>
        <v>4681805.4724109434</v>
      </c>
      <c r="J20" s="17" t="b">
        <f>IF('Simulateur de retraite'!$B$33="Oui",AND('Simulateur de retraite'!$B$35=B20,0&lt;H20))</f>
        <v>0</v>
      </c>
      <c r="K20" s="17">
        <f>IF(AND(J20,'Simulateur de retraite'!$B$23="Oui"),'Simulateur de retraite'!$B$25,0)</f>
        <v>0</v>
      </c>
      <c r="L20" s="18">
        <f t="shared" si="3"/>
        <v>0</v>
      </c>
      <c r="M20" s="29">
        <f t="shared" si="4"/>
        <v>0</v>
      </c>
      <c r="N20" s="31">
        <f>SUM($C$2:C20)*J20</f>
        <v>0</v>
      </c>
    </row>
    <row r="21" spans="1:14" ht="14.25" customHeight="1">
      <c r="A21" s="1">
        <f t="shared" ref="A21:B21" si="22">A20+1</f>
        <v>2045</v>
      </c>
      <c r="B21" s="1">
        <f t="shared" si="22"/>
        <v>39</v>
      </c>
      <c r="C21" s="17">
        <f>IF(B21&lt;'Simulateur de retraite'!$B$16,'Simulateur de retraite'!$B$12+'Simulateur de retraite'!$B$14+'Simulateur de retraite'!$B$20,0)*12</f>
        <v>180000</v>
      </c>
      <c r="D21" s="17">
        <f>C21*'Listes et paramètres'!$B$14</f>
        <v>3600</v>
      </c>
      <c r="E21" s="17">
        <f>C21*'Listes et paramètres'!$B$15</f>
        <v>1800</v>
      </c>
      <c r="F21" s="17">
        <f>IF(B21&lt;'Simulateur de retraite'!$B$16,'Simulateur de retraite'!$B$28,0)</f>
        <v>0</v>
      </c>
      <c r="G21" s="17">
        <f t="shared" si="1"/>
        <v>174600</v>
      </c>
      <c r="H21" s="18">
        <f>IF(B21&lt;'Simulateur de retraite'!$B$18,G21*((1+'Simulateur de retraite'!$B$4)^(1/2)-1)+I20*'Simulateur de retraite'!$B$4,0)</f>
        <v>166892.4137924338</v>
      </c>
      <c r="I21" s="29">
        <f t="shared" si="2"/>
        <v>5023297.8862033775</v>
      </c>
      <c r="J21" s="17" t="b">
        <f>IF('Simulateur de retraite'!$B$33="Oui",AND('Simulateur de retraite'!$B$35=B21,0&lt;H21))</f>
        <v>0</v>
      </c>
      <c r="K21" s="17">
        <f>IF(AND(J21,'Simulateur de retraite'!$B$23="Oui"),'Simulateur de retraite'!$B$25,0)</f>
        <v>0</v>
      </c>
      <c r="L21" s="18">
        <f t="shared" si="3"/>
        <v>0</v>
      </c>
      <c r="M21" s="29">
        <f t="shared" si="4"/>
        <v>0</v>
      </c>
      <c r="N21" s="31">
        <f>SUM($C$2:C21)*J21</f>
        <v>0</v>
      </c>
    </row>
    <row r="22" spans="1:14" ht="14.25" customHeight="1">
      <c r="A22" s="1">
        <f t="shared" ref="A22:B22" si="23">A21+1</f>
        <v>2046</v>
      </c>
      <c r="B22" s="1">
        <f t="shared" si="23"/>
        <v>40</v>
      </c>
      <c r="C22" s="17">
        <f>IF(B22&lt;'Simulateur de retraite'!$B$16,'Simulateur de retraite'!$B$12+'Simulateur de retraite'!$B$14+'Simulateur de retraite'!$B$20,0)*12</f>
        <v>180000</v>
      </c>
      <c r="D22" s="17">
        <f>C22*'Listes et paramètres'!$B$14</f>
        <v>3600</v>
      </c>
      <c r="E22" s="17">
        <f>C22*'Listes et paramètres'!$B$15</f>
        <v>1800</v>
      </c>
      <c r="F22" s="17">
        <f>IF(B22&lt;'Simulateur de retraite'!$B$16,'Simulateur de retraite'!$B$28,0)</f>
        <v>0</v>
      </c>
      <c r="G22" s="17">
        <f t="shared" si="1"/>
        <v>174600</v>
      </c>
      <c r="H22" s="18">
        <f>IF(B22&lt;'Simulateur de retraite'!$B$18,G22*((1+'Simulateur de retraite'!$B$4)^(1/2)-1)+I21*'Simulateur de retraite'!$B$4,0)</f>
        <v>178844.64827516902</v>
      </c>
      <c r="I22" s="29">
        <f t="shared" si="2"/>
        <v>5376742.5344785461</v>
      </c>
      <c r="J22" s="17" t="b">
        <f>IF('Simulateur de retraite'!$B$33="Oui",AND('Simulateur de retraite'!$B$35=B22,0&lt;H22))</f>
        <v>0</v>
      </c>
      <c r="K22" s="17">
        <f>IF(AND(J22,'Simulateur de retraite'!$B$23="Oui"),'Simulateur de retraite'!$B$25,0)</f>
        <v>0</v>
      </c>
      <c r="L22" s="18">
        <f t="shared" si="3"/>
        <v>0</v>
      </c>
      <c r="M22" s="29">
        <f t="shared" si="4"/>
        <v>0</v>
      </c>
      <c r="N22" s="31">
        <f>SUM($C$2:C22)*J22</f>
        <v>0</v>
      </c>
    </row>
    <row r="23" spans="1:14" ht="14.25" customHeight="1">
      <c r="A23" s="1">
        <f t="shared" ref="A23:B23" si="24">A22+1</f>
        <v>2047</v>
      </c>
      <c r="B23" s="1">
        <f t="shared" si="24"/>
        <v>41</v>
      </c>
      <c r="C23" s="17">
        <f>IF(B23&lt;'Simulateur de retraite'!$B$16,'Simulateur de retraite'!$B$12+'Simulateur de retraite'!$B$14+'Simulateur de retraite'!$B$20,0)*12</f>
        <v>180000</v>
      </c>
      <c r="D23" s="17">
        <f>C23*'Listes et paramètres'!$B$14</f>
        <v>3600</v>
      </c>
      <c r="E23" s="17">
        <f>C23*'Listes et paramètres'!$B$15</f>
        <v>1800</v>
      </c>
      <c r="F23" s="17">
        <f>IF(B23&lt;'Simulateur de retraite'!$B$16,'Simulateur de retraite'!$B$28,0)</f>
        <v>0</v>
      </c>
      <c r="G23" s="17">
        <f t="shared" si="1"/>
        <v>174600</v>
      </c>
      <c r="H23" s="18">
        <f>IF(B23&lt;'Simulateur de retraite'!$B$18,G23*((1+'Simulateur de retraite'!$B$4)^(1/2)-1)+I22*'Simulateur de retraite'!$B$4,0)</f>
        <v>191215.21096479992</v>
      </c>
      <c r="I23" s="29">
        <f t="shared" si="2"/>
        <v>5742557.745443346</v>
      </c>
      <c r="J23" s="17" t="b">
        <f>IF('Simulateur de retraite'!$B$33="Oui",AND('Simulateur de retraite'!$B$35=B23,0&lt;H23))</f>
        <v>0</v>
      </c>
      <c r="K23" s="17">
        <f>IF(AND(J23,'Simulateur de retraite'!$B$23="Oui"),'Simulateur de retraite'!$B$25,0)</f>
        <v>0</v>
      </c>
      <c r="L23" s="18">
        <f t="shared" si="3"/>
        <v>0</v>
      </c>
      <c r="M23" s="29">
        <f t="shared" si="4"/>
        <v>0</v>
      </c>
      <c r="N23" s="31">
        <f>SUM($C$2:C23)*J23</f>
        <v>0</v>
      </c>
    </row>
    <row r="24" spans="1:14" ht="14.25" customHeight="1">
      <c r="A24" s="1">
        <f t="shared" ref="A24:B24" si="25">A23+1</f>
        <v>2048</v>
      </c>
      <c r="B24" s="1">
        <f t="shared" si="25"/>
        <v>42</v>
      </c>
      <c r="C24" s="17">
        <f>IF(B24&lt;'Simulateur de retraite'!$B$16,'Simulateur de retraite'!$B$12+'Simulateur de retraite'!$B$14+'Simulateur de retraite'!$B$20,0)*12</f>
        <v>180000</v>
      </c>
      <c r="D24" s="17">
        <f>C24*'Listes et paramètres'!$B$14</f>
        <v>3600</v>
      </c>
      <c r="E24" s="17">
        <f>C24*'Listes et paramètres'!$B$15</f>
        <v>1800</v>
      </c>
      <c r="F24" s="17">
        <f>IF(B24&lt;'Simulateur de retraite'!$B$16,'Simulateur de retraite'!$B$28,0)</f>
        <v>0</v>
      </c>
      <c r="G24" s="17">
        <f t="shared" si="1"/>
        <v>174600</v>
      </c>
      <c r="H24" s="18">
        <f>IF(B24&lt;'Simulateur de retraite'!$B$18,G24*((1+'Simulateur de retraite'!$B$4)^(1/2)-1)+I23*'Simulateur de retraite'!$B$4,0)</f>
        <v>204018.74334856792</v>
      </c>
      <c r="I24" s="29">
        <f t="shared" si="2"/>
        <v>6121176.4887919137</v>
      </c>
      <c r="J24" s="17" t="b">
        <f>IF('Simulateur de retraite'!$B$33="Oui",AND('Simulateur de retraite'!$B$35=B24,0&lt;H24))</f>
        <v>0</v>
      </c>
      <c r="K24" s="17">
        <f>IF(AND(J24,'Simulateur de retraite'!$B$23="Oui"),'Simulateur de retraite'!$B$25,0)</f>
        <v>0</v>
      </c>
      <c r="L24" s="18">
        <f t="shared" si="3"/>
        <v>0</v>
      </c>
      <c r="M24" s="29">
        <f t="shared" si="4"/>
        <v>0</v>
      </c>
      <c r="N24" s="31">
        <f>SUM($C$2:C24)*J24</f>
        <v>0</v>
      </c>
    </row>
    <row r="25" spans="1:14" ht="14.25" customHeight="1">
      <c r="A25" s="1">
        <f t="shared" ref="A25:B25" si="26">A24+1</f>
        <v>2049</v>
      </c>
      <c r="B25" s="1">
        <f t="shared" si="26"/>
        <v>43</v>
      </c>
      <c r="C25" s="17">
        <f>IF(B25&lt;'Simulateur de retraite'!$B$16,'Simulateur de retraite'!$B$12+'Simulateur de retraite'!$B$14+'Simulateur de retraite'!$B$20,0)*12</f>
        <v>180000</v>
      </c>
      <c r="D25" s="17">
        <f>C25*'Listes et paramètres'!$B$14</f>
        <v>3600</v>
      </c>
      <c r="E25" s="17">
        <f>C25*'Listes et paramètres'!$B$15</f>
        <v>1800</v>
      </c>
      <c r="F25" s="17">
        <f>IF(B25&lt;'Simulateur de retraite'!$B$16,'Simulateur de retraite'!$B$28,0)</f>
        <v>0</v>
      </c>
      <c r="G25" s="17">
        <f t="shared" si="1"/>
        <v>174600</v>
      </c>
      <c r="H25" s="18">
        <f>IF(B25&lt;'Simulateur de retraite'!$B$18,G25*((1+'Simulateur de retraite'!$B$4)^(1/2)-1)+I24*'Simulateur de retraite'!$B$4,0)</f>
        <v>217270.39936576778</v>
      </c>
      <c r="I25" s="29">
        <f t="shared" si="2"/>
        <v>6513046.8881576816</v>
      </c>
      <c r="J25" s="17" t="b">
        <f>IF('Simulateur de retraite'!$B$33="Oui",AND('Simulateur de retraite'!$B$35=B25,0&lt;H25))</f>
        <v>0</v>
      </c>
      <c r="K25" s="17">
        <f>IF(AND(J25,'Simulateur de retraite'!$B$23="Oui"),'Simulateur de retraite'!$B$25,0)</f>
        <v>0</v>
      </c>
      <c r="L25" s="18">
        <f t="shared" si="3"/>
        <v>0</v>
      </c>
      <c r="M25" s="29">
        <f t="shared" si="4"/>
        <v>0</v>
      </c>
      <c r="N25" s="31">
        <f>SUM($C$2:C25)*J25</f>
        <v>0</v>
      </c>
    </row>
    <row r="26" spans="1:14" ht="14.25" customHeight="1">
      <c r="A26" s="1">
        <f t="shared" ref="A26:B26" si="27">A25+1</f>
        <v>2050</v>
      </c>
      <c r="B26" s="1">
        <f t="shared" si="27"/>
        <v>44</v>
      </c>
      <c r="C26" s="17">
        <f>IF(B26&lt;'Simulateur de retraite'!$B$16,'Simulateur de retraite'!$B$12+'Simulateur de retraite'!$B$14+'Simulateur de retraite'!$B$20,0)*12</f>
        <v>180000</v>
      </c>
      <c r="D26" s="17">
        <f>C26*'Listes et paramètres'!$B$14</f>
        <v>3600</v>
      </c>
      <c r="E26" s="17">
        <f>C26*'Listes et paramètres'!$B$15</f>
        <v>1800</v>
      </c>
      <c r="F26" s="17">
        <f>IF(B26&lt;'Simulateur de retraite'!$B$16,'Simulateur de retraite'!$B$28,0)</f>
        <v>0</v>
      </c>
      <c r="G26" s="17">
        <f t="shared" si="1"/>
        <v>174600</v>
      </c>
      <c r="H26" s="18">
        <f>IF(B26&lt;'Simulateur de retraite'!$B$18,G26*((1+'Simulateur de retraite'!$B$4)^(1/2)-1)+I25*'Simulateur de retraite'!$B$4,0)</f>
        <v>230985.86334356965</v>
      </c>
      <c r="I26" s="29">
        <f t="shared" si="2"/>
        <v>6918632.751501251</v>
      </c>
      <c r="J26" s="17" t="b">
        <f>IF('Simulateur de retraite'!$B$33="Oui",AND('Simulateur de retraite'!$B$35=B26,0&lt;H26))</f>
        <v>1</v>
      </c>
      <c r="K26" s="17">
        <f>IF(AND(J26,'Simulateur de retraite'!$B$23="Oui"),'Simulateur de retraite'!$B$25,0)</f>
        <v>0</v>
      </c>
      <c r="L26" s="18">
        <f t="shared" si="3"/>
        <v>6918632.751501251</v>
      </c>
      <c r="M26" s="29">
        <f t="shared" si="4"/>
        <v>6918632.751501251</v>
      </c>
      <c r="N26" s="31">
        <f>SUM($C$2:C26)*J26</f>
        <v>4500000</v>
      </c>
    </row>
    <row r="27" spans="1:14" ht="14.25" customHeight="1">
      <c r="A27" s="1">
        <f t="shared" ref="A27:B27" si="28">A26+1</f>
        <v>2051</v>
      </c>
      <c r="B27" s="1">
        <f t="shared" si="28"/>
        <v>45</v>
      </c>
      <c r="C27" s="17">
        <f>IF(B27&lt;'Simulateur de retraite'!$B$16,'Simulateur de retraite'!$B$12+'Simulateur de retraite'!$B$14+'Simulateur de retraite'!$B$20,0)*12</f>
        <v>180000</v>
      </c>
      <c r="D27" s="17">
        <f>C27*'Listes et paramètres'!$B$14</f>
        <v>3600</v>
      </c>
      <c r="E27" s="17">
        <f>C27*'Listes et paramètres'!$B$15</f>
        <v>1800</v>
      </c>
      <c r="F27" s="17">
        <f>IF(B27&lt;'Simulateur de retraite'!$B$16,'Simulateur de retraite'!$B$28,0)</f>
        <v>0</v>
      </c>
      <c r="G27" s="17">
        <f t="shared" si="1"/>
        <v>174600</v>
      </c>
      <c r="H27" s="18">
        <f>IF(B27&lt;'Simulateur de retraite'!$B$18,G27*((1+'Simulateur de retraite'!$B$4)^(1/2)-1)+I26*'Simulateur de retraite'!$B$4,0)</f>
        <v>245181.36856059459</v>
      </c>
      <c r="I27" s="29">
        <f t="shared" si="2"/>
        <v>7338414.1200618455</v>
      </c>
      <c r="J27" s="17" t="b">
        <f>IF('Simulateur de retraite'!$B$33="Oui",AND('Simulateur de retraite'!$B$35=B27,0&lt;H27))</f>
        <v>0</v>
      </c>
      <c r="K27" s="17">
        <f>IF(AND(J27,'Simulateur de retraite'!$B$23="Oui"),'Simulateur de retraite'!$B$25,0)</f>
        <v>0</v>
      </c>
      <c r="L27" s="18">
        <f t="shared" si="3"/>
        <v>0</v>
      </c>
      <c r="M27" s="29">
        <f t="shared" si="4"/>
        <v>0</v>
      </c>
      <c r="N27" s="31">
        <f>SUM($C$2:C27)*J27</f>
        <v>0</v>
      </c>
    </row>
    <row r="28" spans="1:14" ht="14.25" customHeight="1">
      <c r="A28" s="1">
        <f t="shared" ref="A28:B28" si="29">A27+1</f>
        <v>2052</v>
      </c>
      <c r="B28" s="1">
        <f t="shared" si="29"/>
        <v>46</v>
      </c>
      <c r="C28" s="17">
        <f>IF(B28&lt;'Simulateur de retraite'!$B$16,'Simulateur de retraite'!$B$12+'Simulateur de retraite'!$B$14+'Simulateur de retraite'!$B$20,0)*12</f>
        <v>0</v>
      </c>
      <c r="D28" s="17">
        <f>C28*'Listes et paramètres'!$B$14</f>
        <v>0</v>
      </c>
      <c r="E28" s="17">
        <f>C28*'Listes et paramètres'!$B$15</f>
        <v>0</v>
      </c>
      <c r="F28" s="17">
        <f>IF(B28&lt;'Simulateur de retraite'!$B$16,'Simulateur de retraite'!$B$28,0)</f>
        <v>0</v>
      </c>
      <c r="G28" s="17">
        <f t="shared" si="1"/>
        <v>0</v>
      </c>
      <c r="H28" s="18">
        <f>IF(B28&lt;'Simulateur de retraite'!$B$18,G28*((1+'Simulateur de retraite'!$B$4)^(1/2)-1)+I27*'Simulateur de retraite'!$B$4,0)</f>
        <v>0</v>
      </c>
      <c r="I28" s="29">
        <f t="shared" si="2"/>
        <v>7338414.1200618455</v>
      </c>
      <c r="J28" s="17" t="b">
        <f>IF('Simulateur de retraite'!$B$33="Oui",AND('Simulateur de retraite'!$B$35=B28,0&lt;H28))</f>
        <v>0</v>
      </c>
      <c r="K28" s="17">
        <f>IF(AND(J28,'Simulateur de retraite'!$B$23="Oui"),'Simulateur de retraite'!$B$25,0)</f>
        <v>0</v>
      </c>
      <c r="L28" s="18">
        <f t="shared" si="3"/>
        <v>0</v>
      </c>
      <c r="M28" s="29">
        <f t="shared" si="4"/>
        <v>0</v>
      </c>
      <c r="N28" s="31">
        <f>SUM($C$2:C28)*J28</f>
        <v>0</v>
      </c>
    </row>
    <row r="29" spans="1:14" ht="14.25" customHeight="1">
      <c r="A29" s="1">
        <f t="shared" ref="A29:B29" si="30">A28+1</f>
        <v>2053</v>
      </c>
      <c r="B29" s="1">
        <f t="shared" si="30"/>
        <v>47</v>
      </c>
      <c r="C29" s="17">
        <f>IF(B29&lt;'Simulateur de retraite'!$B$16,'Simulateur de retraite'!$B$12+'Simulateur de retraite'!$B$14+'Simulateur de retraite'!$B$20,0)*12</f>
        <v>0</v>
      </c>
      <c r="D29" s="17">
        <f>C29*'Listes et paramètres'!$B$14</f>
        <v>0</v>
      </c>
      <c r="E29" s="17">
        <f>C29*'Listes et paramètres'!$B$15</f>
        <v>0</v>
      </c>
      <c r="F29" s="17">
        <f>IF(B29&lt;'Simulateur de retraite'!$B$16,'Simulateur de retraite'!$B$28,0)</f>
        <v>0</v>
      </c>
      <c r="G29" s="17">
        <f t="shared" si="1"/>
        <v>0</v>
      </c>
      <c r="H29" s="18">
        <f>IF(B29&lt;'Simulateur de retraite'!$B$18,G29*((1+'Simulateur de retraite'!$B$4)^(1/2)-1)+I28*'Simulateur de retraite'!$B$4,0)</f>
        <v>0</v>
      </c>
      <c r="I29" s="29">
        <f t="shared" si="2"/>
        <v>7338414.1200618455</v>
      </c>
      <c r="J29" s="17" t="b">
        <f>IF('Simulateur de retraite'!$B$33="Oui",AND('Simulateur de retraite'!$B$35=B29,0&lt;H29))</f>
        <v>0</v>
      </c>
      <c r="K29" s="17">
        <f>IF(AND(J29,'Simulateur de retraite'!$B$23="Oui"),'Simulateur de retraite'!$B$25,0)</f>
        <v>0</v>
      </c>
      <c r="L29" s="18">
        <f t="shared" si="3"/>
        <v>0</v>
      </c>
      <c r="M29" s="29">
        <f t="shared" si="4"/>
        <v>0</v>
      </c>
      <c r="N29" s="31">
        <f>SUM($C$2:C29)*J29</f>
        <v>0</v>
      </c>
    </row>
    <row r="30" spans="1:14" ht="14.25" customHeight="1">
      <c r="A30" s="1">
        <f t="shared" ref="A30:B30" si="31">A29+1</f>
        <v>2054</v>
      </c>
      <c r="B30" s="1">
        <f t="shared" si="31"/>
        <v>48</v>
      </c>
      <c r="C30" s="17">
        <f>IF(B30&lt;'Simulateur de retraite'!$B$16,'Simulateur de retraite'!$B$12+'Simulateur de retraite'!$B$14+'Simulateur de retraite'!$B$20,0)*12</f>
        <v>0</v>
      </c>
      <c r="D30" s="17">
        <f>C30*'Listes et paramètres'!$B$14</f>
        <v>0</v>
      </c>
      <c r="E30" s="17">
        <f>C30*'Listes et paramètres'!$B$15</f>
        <v>0</v>
      </c>
      <c r="F30" s="17">
        <f>IF(B30&lt;'Simulateur de retraite'!$B$16,'Simulateur de retraite'!$B$28,0)</f>
        <v>0</v>
      </c>
      <c r="G30" s="17">
        <f t="shared" si="1"/>
        <v>0</v>
      </c>
      <c r="H30" s="18">
        <f>IF(B30&lt;'Simulateur de retraite'!$B$18,G30*((1+'Simulateur de retraite'!$B$4)^(1/2)-1)+I29*'Simulateur de retraite'!$B$4,0)</f>
        <v>0</v>
      </c>
      <c r="I30" s="29">
        <f t="shared" si="2"/>
        <v>7338414.1200618455</v>
      </c>
      <c r="J30" s="17" t="b">
        <f>IF('Simulateur de retraite'!$B$33="Oui",AND('Simulateur de retraite'!$B$35=B30,0&lt;H30))</f>
        <v>0</v>
      </c>
      <c r="K30" s="17">
        <f>IF(AND(J30,'Simulateur de retraite'!$B$23="Oui"),'Simulateur de retraite'!$B$25,0)</f>
        <v>0</v>
      </c>
      <c r="L30" s="18">
        <f t="shared" si="3"/>
        <v>0</v>
      </c>
      <c r="M30" s="29">
        <f t="shared" si="4"/>
        <v>0</v>
      </c>
      <c r="N30" s="31">
        <f>SUM($C$2:C30)*J30</f>
        <v>0</v>
      </c>
    </row>
    <row r="31" spans="1:14" ht="14.25" customHeight="1">
      <c r="A31" s="1">
        <f t="shared" ref="A31:B31" si="32">A30+1</f>
        <v>2055</v>
      </c>
      <c r="B31" s="1">
        <f t="shared" si="32"/>
        <v>49</v>
      </c>
      <c r="C31" s="17">
        <f>IF(B31&lt;'Simulateur de retraite'!$B$16,'Simulateur de retraite'!$B$12+'Simulateur de retraite'!$B$14+'Simulateur de retraite'!$B$20,0)*12</f>
        <v>0</v>
      </c>
      <c r="D31" s="17">
        <f>C31*'Listes et paramètres'!$B$14</f>
        <v>0</v>
      </c>
      <c r="E31" s="17">
        <f>C31*'Listes et paramètres'!$B$15</f>
        <v>0</v>
      </c>
      <c r="F31" s="17">
        <f>IF(B31&lt;'Simulateur de retraite'!$B$16,'Simulateur de retraite'!$B$28,0)</f>
        <v>0</v>
      </c>
      <c r="G31" s="17">
        <f t="shared" si="1"/>
        <v>0</v>
      </c>
      <c r="H31" s="18">
        <f>IF(B31&lt;'Simulateur de retraite'!$B$18,G31*((1+'Simulateur de retraite'!$B$4)^(1/2)-1)+I30*'Simulateur de retraite'!$B$4,0)</f>
        <v>0</v>
      </c>
      <c r="I31" s="29">
        <f t="shared" si="2"/>
        <v>7338414.1200618455</v>
      </c>
      <c r="J31" s="17" t="b">
        <f>IF('Simulateur de retraite'!$B$33="Oui",AND('Simulateur de retraite'!$B$35=B31,0&lt;H31))</f>
        <v>0</v>
      </c>
      <c r="K31" s="17">
        <f>IF(AND(J31,'Simulateur de retraite'!$B$23="Oui"),'Simulateur de retraite'!$B$25,0)</f>
        <v>0</v>
      </c>
      <c r="L31" s="18">
        <f t="shared" si="3"/>
        <v>0</v>
      </c>
      <c r="M31" s="29">
        <f t="shared" si="4"/>
        <v>0</v>
      </c>
      <c r="N31" s="31">
        <f>SUM($C$2:C31)*J31</f>
        <v>0</v>
      </c>
    </row>
    <row r="32" spans="1:14" ht="14.25" customHeight="1">
      <c r="A32" s="1">
        <f t="shared" ref="A32:B32" si="33">A31+1</f>
        <v>2056</v>
      </c>
      <c r="B32" s="1">
        <f t="shared" si="33"/>
        <v>50</v>
      </c>
      <c r="C32" s="17">
        <f>IF(B32&lt;'Simulateur de retraite'!$B$16,'Simulateur de retraite'!$B$12+'Simulateur de retraite'!$B$14+'Simulateur de retraite'!$B$20,0)*12</f>
        <v>0</v>
      </c>
      <c r="D32" s="17">
        <f>C32*'Listes et paramètres'!$B$14</f>
        <v>0</v>
      </c>
      <c r="E32" s="17">
        <f>C32*'Listes et paramètres'!$B$15</f>
        <v>0</v>
      </c>
      <c r="F32" s="17">
        <f>IF(B32&lt;'Simulateur de retraite'!$B$16,'Simulateur de retraite'!$B$28,0)</f>
        <v>0</v>
      </c>
      <c r="G32" s="17">
        <f t="shared" si="1"/>
        <v>0</v>
      </c>
      <c r="H32" s="18">
        <f>IF(B32&lt;'Simulateur de retraite'!$B$18,G32*((1+'Simulateur de retraite'!$B$4)^(1/2)-1)+I31*'Simulateur de retraite'!$B$4,0)</f>
        <v>0</v>
      </c>
      <c r="I32" s="29">
        <f t="shared" si="2"/>
        <v>7338414.1200618455</v>
      </c>
      <c r="J32" s="17" t="b">
        <f>IF('Simulateur de retraite'!$B$33="Oui",AND('Simulateur de retraite'!$B$35=B32,0&lt;H32))</f>
        <v>0</v>
      </c>
      <c r="K32" s="17">
        <f>IF(AND(J32,'Simulateur de retraite'!$B$23="Oui"),'Simulateur de retraite'!$B$25,0)</f>
        <v>0</v>
      </c>
      <c r="L32" s="18">
        <f t="shared" si="3"/>
        <v>0</v>
      </c>
      <c r="M32" s="29">
        <f t="shared" si="4"/>
        <v>0</v>
      </c>
      <c r="N32" s="31">
        <f>SUM($C$2:C32)*J32</f>
        <v>0</v>
      </c>
    </row>
    <row r="33" spans="1:14" ht="14.25" customHeight="1">
      <c r="A33" s="1">
        <f t="shared" ref="A33:B33" si="34">A32+1</f>
        <v>2057</v>
      </c>
      <c r="B33" s="1">
        <f t="shared" si="34"/>
        <v>51</v>
      </c>
      <c r="C33" s="17">
        <f>IF(B33&lt;'Simulateur de retraite'!$B$16,'Simulateur de retraite'!$B$12+'Simulateur de retraite'!$B$14+'Simulateur de retraite'!$B$20,0)*12</f>
        <v>0</v>
      </c>
      <c r="D33" s="17">
        <f>C33*'Listes et paramètres'!$B$14</f>
        <v>0</v>
      </c>
      <c r="E33" s="17">
        <f>C33*'Listes et paramètres'!$B$15</f>
        <v>0</v>
      </c>
      <c r="F33" s="17">
        <f>IF(B33&lt;'Simulateur de retraite'!$B$16,'Simulateur de retraite'!$B$28,0)</f>
        <v>0</v>
      </c>
      <c r="G33" s="17">
        <f t="shared" si="1"/>
        <v>0</v>
      </c>
      <c r="H33" s="18">
        <f>IF(B33&lt;'Simulateur de retraite'!$B$18,G33*((1+'Simulateur de retraite'!$B$4)^(1/2)-1)+I32*'Simulateur de retraite'!$B$4,0)</f>
        <v>0</v>
      </c>
      <c r="I33" s="29">
        <f t="shared" si="2"/>
        <v>7338414.1200618455</v>
      </c>
      <c r="J33" s="17" t="b">
        <f>IF('Simulateur de retraite'!$B$33="Oui",AND('Simulateur de retraite'!$B$35=B33,0&lt;H33))</f>
        <v>0</v>
      </c>
      <c r="K33" s="17">
        <f>IF(AND(J33,'Simulateur de retraite'!$B$23="Oui"),'Simulateur de retraite'!$B$25,0)</f>
        <v>0</v>
      </c>
      <c r="L33" s="18">
        <f t="shared" si="3"/>
        <v>0</v>
      </c>
      <c r="M33" s="29">
        <f t="shared" si="4"/>
        <v>0</v>
      </c>
      <c r="N33" s="31">
        <f>SUM($C$2:C33)*J33</f>
        <v>0</v>
      </c>
    </row>
    <row r="34" spans="1:14" ht="14.25" customHeight="1">
      <c r="A34" s="1">
        <f t="shared" ref="A34:B34" si="35">A33+1</f>
        <v>2058</v>
      </c>
      <c r="B34" s="1">
        <f t="shared" si="35"/>
        <v>52</v>
      </c>
      <c r="C34" s="17">
        <f>IF(B34&lt;'Simulateur de retraite'!$B$16,'Simulateur de retraite'!$B$12+'Simulateur de retraite'!$B$14+'Simulateur de retraite'!$B$20,0)*12</f>
        <v>0</v>
      </c>
      <c r="D34" s="17">
        <f>C34*'Listes et paramètres'!$B$14</f>
        <v>0</v>
      </c>
      <c r="E34" s="17">
        <f>C34*'Listes et paramètres'!$B$15</f>
        <v>0</v>
      </c>
      <c r="F34" s="17">
        <f>IF(B34&lt;'Simulateur de retraite'!$B$16,'Simulateur de retraite'!$B$28,0)</f>
        <v>0</v>
      </c>
      <c r="G34" s="17">
        <f t="shared" si="1"/>
        <v>0</v>
      </c>
      <c r="H34" s="18">
        <f>IF(B34&lt;'Simulateur de retraite'!$B$18,G34*((1+'Simulateur de retraite'!$B$4)^(1/2)-1)+I33*'Simulateur de retraite'!$B$4,0)</f>
        <v>0</v>
      </c>
      <c r="I34" s="29">
        <f t="shared" si="2"/>
        <v>7338414.1200618455</v>
      </c>
      <c r="J34" s="17" t="b">
        <f>IF('Simulateur de retraite'!$B$33="Oui",AND('Simulateur de retraite'!$B$35=B34,0&lt;H34))</f>
        <v>0</v>
      </c>
      <c r="K34" s="17">
        <f>IF(AND(J34,'Simulateur de retraite'!$B$23="Oui"),'Simulateur de retraite'!$B$25,0)</f>
        <v>0</v>
      </c>
      <c r="L34" s="18">
        <f t="shared" si="3"/>
        <v>0</v>
      </c>
      <c r="M34" s="29">
        <f t="shared" si="4"/>
        <v>0</v>
      </c>
      <c r="N34" s="31">
        <f>SUM($C$2:C34)*J34</f>
        <v>0</v>
      </c>
    </row>
    <row r="35" spans="1:14" ht="14.25" customHeight="1">
      <c r="A35" s="1">
        <f t="shared" ref="A35:B35" si="36">A34+1</f>
        <v>2059</v>
      </c>
      <c r="B35" s="1">
        <f t="shared" si="36"/>
        <v>53</v>
      </c>
      <c r="C35" s="17">
        <f>IF(B35&lt;'Simulateur de retraite'!$B$16,'Simulateur de retraite'!$B$12+'Simulateur de retraite'!$B$14+'Simulateur de retraite'!$B$20,0)*12</f>
        <v>0</v>
      </c>
      <c r="D35" s="17">
        <f>C35*'Listes et paramètres'!$B$14</f>
        <v>0</v>
      </c>
      <c r="E35" s="17">
        <f>C35*'Listes et paramètres'!$B$15</f>
        <v>0</v>
      </c>
      <c r="F35" s="17">
        <f>IF(B35&lt;'Simulateur de retraite'!$B$16,'Simulateur de retraite'!$B$28,0)</f>
        <v>0</v>
      </c>
      <c r="G35" s="17">
        <f t="shared" si="1"/>
        <v>0</v>
      </c>
      <c r="H35" s="18">
        <f>IF(B35&lt;'Simulateur de retraite'!$B$18,G35*((1+'Simulateur de retraite'!$B$4)^(1/2)-1)+I34*'Simulateur de retraite'!$B$4,0)</f>
        <v>0</v>
      </c>
      <c r="I35" s="29">
        <f t="shared" si="2"/>
        <v>7338414.1200618455</v>
      </c>
      <c r="J35" s="17" t="b">
        <f>IF('Simulateur de retraite'!$B$33="Oui",AND('Simulateur de retraite'!$B$35=B35,0&lt;H35))</f>
        <v>0</v>
      </c>
      <c r="K35" s="17">
        <f>IF(AND(J35,'Simulateur de retraite'!$B$23="Oui"),'Simulateur de retraite'!$B$25,0)</f>
        <v>0</v>
      </c>
      <c r="L35" s="18">
        <f t="shared" si="3"/>
        <v>0</v>
      </c>
      <c r="M35" s="29">
        <f t="shared" si="4"/>
        <v>0</v>
      </c>
      <c r="N35" s="31">
        <f>SUM($C$2:C35)*J35</f>
        <v>0</v>
      </c>
    </row>
    <row r="36" spans="1:14" ht="14.25" customHeight="1">
      <c r="A36" s="1">
        <f t="shared" ref="A36:B36" si="37">A35+1</f>
        <v>2060</v>
      </c>
      <c r="B36" s="1">
        <f t="shared" si="37"/>
        <v>54</v>
      </c>
      <c r="C36" s="17">
        <f>IF(B36&lt;'Simulateur de retraite'!$B$16,'Simulateur de retraite'!$B$12+'Simulateur de retraite'!$B$14+'Simulateur de retraite'!$B$20,0)*12</f>
        <v>0</v>
      </c>
      <c r="D36" s="17">
        <f>C36*'Listes et paramètres'!$B$14</f>
        <v>0</v>
      </c>
      <c r="E36" s="17">
        <f>C36*'Listes et paramètres'!$B$15</f>
        <v>0</v>
      </c>
      <c r="F36" s="17">
        <f>IF(B36&lt;'Simulateur de retraite'!$B$16,'Simulateur de retraite'!$B$28,0)</f>
        <v>0</v>
      </c>
      <c r="G36" s="17">
        <f t="shared" si="1"/>
        <v>0</v>
      </c>
      <c r="H36" s="18">
        <f>IF(B36&lt;'Simulateur de retraite'!$B$18,G36*((1+'Simulateur de retraite'!$B$4)^(1/2)-1)+I35*'Simulateur de retraite'!$B$4,0)</f>
        <v>0</v>
      </c>
      <c r="I36" s="29">
        <f t="shared" si="2"/>
        <v>7338414.1200618455</v>
      </c>
      <c r="J36" s="17" t="b">
        <f>IF('Simulateur de retraite'!$B$33="Oui",AND('Simulateur de retraite'!$B$35=B36,0&lt;H36))</f>
        <v>0</v>
      </c>
      <c r="K36" s="17">
        <f>IF(AND(J36,'Simulateur de retraite'!$B$23="Oui"),'Simulateur de retraite'!$B$25,0)</f>
        <v>0</v>
      </c>
      <c r="L36" s="18">
        <f t="shared" si="3"/>
        <v>0</v>
      </c>
      <c r="M36" s="29">
        <f t="shared" si="4"/>
        <v>0</v>
      </c>
      <c r="N36" s="31">
        <f>SUM($C$2:C36)*J36</f>
        <v>0</v>
      </c>
    </row>
    <row r="37" spans="1:14" ht="14.25" customHeight="1">
      <c r="A37" s="1">
        <f t="shared" ref="A37:B37" si="38">A36+1</f>
        <v>2061</v>
      </c>
      <c r="B37" s="1">
        <f t="shared" si="38"/>
        <v>55</v>
      </c>
      <c r="C37" s="17">
        <f>IF(B37&lt;'Simulateur de retraite'!$B$16,'Simulateur de retraite'!$B$12+'Simulateur de retraite'!$B$14+'Simulateur de retraite'!$B$20,0)*12</f>
        <v>0</v>
      </c>
      <c r="D37" s="17">
        <f>C37*'Listes et paramètres'!$B$14</f>
        <v>0</v>
      </c>
      <c r="E37" s="17">
        <f>C37*'Listes et paramètres'!$B$15</f>
        <v>0</v>
      </c>
      <c r="F37" s="17">
        <f>IF(B37&lt;'Simulateur de retraite'!$B$16,'Simulateur de retraite'!$B$28,0)</f>
        <v>0</v>
      </c>
      <c r="G37" s="17">
        <f t="shared" si="1"/>
        <v>0</v>
      </c>
      <c r="H37" s="18">
        <f>IF(B37&lt;'Simulateur de retraite'!$B$18,G37*((1+'Simulateur de retraite'!$B$4)^(1/2)-1)+I36*'Simulateur de retraite'!$B$4,0)</f>
        <v>0</v>
      </c>
      <c r="I37" s="29">
        <f t="shared" si="2"/>
        <v>7338414.1200618455</v>
      </c>
      <c r="J37" s="17" t="b">
        <f>IF('Simulateur de retraite'!$B$33="Oui",AND('Simulateur de retraite'!$B$35=B37,0&lt;H37))</f>
        <v>0</v>
      </c>
      <c r="K37" s="17">
        <f>IF(AND(J37,'Simulateur de retraite'!$B$23="Oui"),'Simulateur de retraite'!$B$25,0)</f>
        <v>0</v>
      </c>
      <c r="L37" s="18">
        <f t="shared" si="3"/>
        <v>0</v>
      </c>
      <c r="M37" s="29">
        <f t="shared" si="4"/>
        <v>0</v>
      </c>
      <c r="N37" s="31">
        <f>SUM($C$2:C37)*J37</f>
        <v>0</v>
      </c>
    </row>
    <row r="38" spans="1:14" ht="14.25" customHeight="1">
      <c r="A38" s="1">
        <f t="shared" ref="A38:B38" si="39">A37+1</f>
        <v>2062</v>
      </c>
      <c r="B38" s="1">
        <f t="shared" si="39"/>
        <v>56</v>
      </c>
      <c r="C38" s="17">
        <f>IF(B38&lt;'Simulateur de retraite'!$B$16,'Simulateur de retraite'!$B$12+'Simulateur de retraite'!$B$14+'Simulateur de retraite'!$B$20,0)*12</f>
        <v>0</v>
      </c>
      <c r="D38" s="17">
        <f>C38*'Listes et paramètres'!$B$14</f>
        <v>0</v>
      </c>
      <c r="E38" s="17">
        <f>C38*'Listes et paramètres'!$B$15</f>
        <v>0</v>
      </c>
      <c r="F38" s="17">
        <f>IF(B38&lt;'Simulateur de retraite'!$B$16,'Simulateur de retraite'!$B$28,0)</f>
        <v>0</v>
      </c>
      <c r="G38" s="17">
        <f t="shared" si="1"/>
        <v>0</v>
      </c>
      <c r="H38" s="18">
        <f>IF(B38&lt;'Simulateur de retraite'!$B$18,G38*((1+'Simulateur de retraite'!$B$4)^(1/2)-1)+I37*'Simulateur de retraite'!$B$4,0)</f>
        <v>0</v>
      </c>
      <c r="I38" s="29">
        <f t="shared" si="2"/>
        <v>7338414.1200618455</v>
      </c>
      <c r="J38" s="17" t="b">
        <f>IF('Simulateur de retraite'!$B$33="Oui",AND('Simulateur de retraite'!$B$35=B38,0&lt;H38))</f>
        <v>0</v>
      </c>
      <c r="K38" s="17">
        <f>IF(AND(J38,'Simulateur de retraite'!$B$23="Oui"),'Simulateur de retraite'!$B$25,0)</f>
        <v>0</v>
      </c>
      <c r="L38" s="18">
        <f t="shared" si="3"/>
        <v>0</v>
      </c>
      <c r="M38" s="29">
        <f t="shared" si="4"/>
        <v>0</v>
      </c>
      <c r="N38" s="31">
        <f>SUM($C$2:C38)*J38</f>
        <v>0</v>
      </c>
    </row>
    <row r="39" spans="1:14" ht="14.25" customHeight="1">
      <c r="A39" s="1">
        <f t="shared" ref="A39:B39" si="40">A38+1</f>
        <v>2063</v>
      </c>
      <c r="B39" s="1">
        <f t="shared" si="40"/>
        <v>57</v>
      </c>
      <c r="C39" s="17">
        <f>IF(B39&lt;'Simulateur de retraite'!$B$16,'Simulateur de retraite'!$B$12+'Simulateur de retraite'!$B$14+'Simulateur de retraite'!$B$20,0)*12</f>
        <v>0</v>
      </c>
      <c r="D39" s="17">
        <f>C39*'Listes et paramètres'!$B$14</f>
        <v>0</v>
      </c>
      <c r="E39" s="17">
        <f>C39*'Listes et paramètres'!$B$15</f>
        <v>0</v>
      </c>
      <c r="F39" s="17">
        <f>IF(B39&lt;'Simulateur de retraite'!$B$16,'Simulateur de retraite'!$B$28,0)</f>
        <v>0</v>
      </c>
      <c r="G39" s="17">
        <f t="shared" si="1"/>
        <v>0</v>
      </c>
      <c r="H39" s="18">
        <f>IF(B39&lt;'Simulateur de retraite'!$B$18,G39*((1+'Simulateur de retraite'!$B$4)^(1/2)-1)+I38*'Simulateur de retraite'!$B$4,0)</f>
        <v>0</v>
      </c>
      <c r="I39" s="29">
        <f t="shared" si="2"/>
        <v>7338414.1200618455</v>
      </c>
      <c r="J39" s="17" t="b">
        <f>IF('Simulateur de retraite'!$B$33="Oui",AND('Simulateur de retraite'!$B$35=B39,0&lt;H39))</f>
        <v>0</v>
      </c>
      <c r="K39" s="17">
        <f>IF(AND(J39,'Simulateur de retraite'!$B$23="Oui"),'Simulateur de retraite'!$B$25,0)</f>
        <v>0</v>
      </c>
      <c r="L39" s="18">
        <f t="shared" si="3"/>
        <v>0</v>
      </c>
      <c r="M39" s="29">
        <f t="shared" si="4"/>
        <v>0</v>
      </c>
      <c r="N39" s="31">
        <f>SUM($C$2:C39)*J39</f>
        <v>0</v>
      </c>
    </row>
    <row r="40" spans="1:14" ht="14.25" customHeight="1">
      <c r="A40" s="1">
        <f t="shared" ref="A40:B40" si="41">A39+1</f>
        <v>2064</v>
      </c>
      <c r="B40" s="1">
        <f t="shared" si="41"/>
        <v>58</v>
      </c>
      <c r="C40" s="17">
        <f>IF(B40&lt;'Simulateur de retraite'!$B$16,'Simulateur de retraite'!$B$12+'Simulateur de retraite'!$B$14+'Simulateur de retraite'!$B$20,0)*12</f>
        <v>0</v>
      </c>
      <c r="D40" s="17">
        <f>C40*'Listes et paramètres'!$B$14</f>
        <v>0</v>
      </c>
      <c r="E40" s="17">
        <f>C40*'Listes et paramètres'!$B$15</f>
        <v>0</v>
      </c>
      <c r="F40" s="17">
        <f>IF(B40&lt;'Simulateur de retraite'!$B$16,'Simulateur de retraite'!$B$28,0)</f>
        <v>0</v>
      </c>
      <c r="G40" s="17">
        <f t="shared" si="1"/>
        <v>0</v>
      </c>
      <c r="H40" s="18">
        <f>IF(B40&lt;'Simulateur de retraite'!$B$18,G40*((1+'Simulateur de retraite'!$B$4)^(1/2)-1)+I39*'Simulateur de retraite'!$B$4,0)</f>
        <v>0</v>
      </c>
      <c r="I40" s="29">
        <f t="shared" si="2"/>
        <v>7338414.1200618455</v>
      </c>
      <c r="J40" s="17" t="b">
        <f>IF('Simulateur de retraite'!$B$33="Oui",AND('Simulateur de retraite'!$B$35=B40,0&lt;H40))</f>
        <v>0</v>
      </c>
      <c r="K40" s="17">
        <f>IF(AND(J40,'Simulateur de retraite'!$B$23="Oui"),'Simulateur de retraite'!$B$25,0)</f>
        <v>0</v>
      </c>
      <c r="L40" s="18">
        <f t="shared" si="3"/>
        <v>0</v>
      </c>
      <c r="M40" s="29">
        <f t="shared" si="4"/>
        <v>0</v>
      </c>
      <c r="N40" s="31">
        <f>SUM($C$2:C40)*J40</f>
        <v>0</v>
      </c>
    </row>
    <row r="41" spans="1:14" ht="14.25" customHeight="1">
      <c r="A41" s="1">
        <f t="shared" ref="A41:B41" si="42">A40+1</f>
        <v>2065</v>
      </c>
      <c r="B41" s="1">
        <f t="shared" si="42"/>
        <v>59</v>
      </c>
      <c r="C41" s="17">
        <f>IF(B41&lt;'Simulateur de retraite'!$B$16,'Simulateur de retraite'!$B$12+'Simulateur de retraite'!$B$14+'Simulateur de retraite'!$B$20,0)*12</f>
        <v>0</v>
      </c>
      <c r="D41" s="17">
        <f>C41*'Listes et paramètres'!$B$14</f>
        <v>0</v>
      </c>
      <c r="E41" s="17">
        <f>C41*'Listes et paramètres'!$B$15</f>
        <v>0</v>
      </c>
      <c r="F41" s="17">
        <f>IF(B41&lt;'Simulateur de retraite'!$B$16,'Simulateur de retraite'!$B$28,0)</f>
        <v>0</v>
      </c>
      <c r="G41" s="17">
        <f t="shared" si="1"/>
        <v>0</v>
      </c>
      <c r="H41" s="18">
        <f>IF(B41&lt;'Simulateur de retraite'!$B$18,G41*((1+'Simulateur de retraite'!$B$4)^(1/2)-1)+I40*'Simulateur de retraite'!$B$4,0)</f>
        <v>0</v>
      </c>
      <c r="I41" s="29">
        <f t="shared" si="2"/>
        <v>7338414.1200618455</v>
      </c>
      <c r="J41" s="17" t="b">
        <f>IF('Simulateur de retraite'!$B$33="Oui",AND('Simulateur de retraite'!$B$35=B41,0&lt;H41))</f>
        <v>0</v>
      </c>
      <c r="K41" s="17">
        <f>IF(AND(J41,'Simulateur de retraite'!$B$23="Oui"),'Simulateur de retraite'!$B$25,0)</f>
        <v>0</v>
      </c>
      <c r="L41" s="18">
        <f t="shared" si="3"/>
        <v>0</v>
      </c>
      <c r="M41" s="29">
        <f t="shared" si="4"/>
        <v>0</v>
      </c>
      <c r="N41" s="31">
        <f>SUM($C$2:C41)*J41</f>
        <v>0</v>
      </c>
    </row>
    <row r="42" spans="1:14" ht="14.25" customHeight="1">
      <c r="A42" s="1">
        <f t="shared" ref="A42:B42" si="43">A41+1</f>
        <v>2066</v>
      </c>
      <c r="B42" s="1">
        <f t="shared" si="43"/>
        <v>60</v>
      </c>
      <c r="C42" s="17">
        <f>IF(B42&lt;'Simulateur de retraite'!$B$16,'Simulateur de retraite'!$B$12+'Simulateur de retraite'!$B$14+'Simulateur de retraite'!$B$20,0)*12</f>
        <v>0</v>
      </c>
      <c r="D42" s="17">
        <f>C42*'Listes et paramètres'!$B$14</f>
        <v>0</v>
      </c>
      <c r="E42" s="17">
        <f>C42*'Listes et paramètres'!$B$15</f>
        <v>0</v>
      </c>
      <c r="F42" s="17">
        <f>IF(B42&lt;'Simulateur de retraite'!$B$16,'Simulateur de retraite'!$B$28,0)</f>
        <v>0</v>
      </c>
      <c r="G42" s="17">
        <f t="shared" si="1"/>
        <v>0</v>
      </c>
      <c r="H42" s="18">
        <f>IF(B42&lt;'Simulateur de retraite'!$B$18,G42*((1+'Simulateur de retraite'!$B$4)^(1/2)-1)+I41*'Simulateur de retraite'!$B$4,0)</f>
        <v>0</v>
      </c>
      <c r="I42" s="29">
        <f t="shared" si="2"/>
        <v>7338414.1200618455</v>
      </c>
      <c r="J42" s="17" t="b">
        <f>IF('Simulateur de retraite'!$B$33="Oui",AND('Simulateur de retraite'!$B$35=B42,0&lt;H42))</f>
        <v>0</v>
      </c>
      <c r="K42" s="17">
        <f>IF(AND(J42,'Simulateur de retraite'!$B$23="Oui"),'Simulateur de retraite'!$B$25,0)</f>
        <v>0</v>
      </c>
      <c r="L42" s="18">
        <f t="shared" si="3"/>
        <v>0</v>
      </c>
      <c r="M42" s="29">
        <f t="shared" si="4"/>
        <v>0</v>
      </c>
      <c r="N42" s="31">
        <f>SUM($C$2:C42)*J42</f>
        <v>0</v>
      </c>
    </row>
    <row r="43" spans="1:14" ht="14.25" customHeight="1">
      <c r="A43" s="1">
        <f t="shared" ref="A43:B43" si="44">A42+1</f>
        <v>2067</v>
      </c>
      <c r="B43" s="1">
        <f t="shared" si="44"/>
        <v>61</v>
      </c>
      <c r="C43" s="17">
        <f>IF(B43&lt;'Simulateur de retraite'!$B$16,'Simulateur de retraite'!$B$12+'Simulateur de retraite'!$B$14+'Simulateur de retraite'!$B$20,0)*12</f>
        <v>0</v>
      </c>
      <c r="D43" s="17">
        <f>C43*'Listes et paramètres'!$B$14</f>
        <v>0</v>
      </c>
      <c r="E43" s="17">
        <f>C43*'Listes et paramètres'!$B$15</f>
        <v>0</v>
      </c>
      <c r="F43" s="17">
        <f>IF(B43&lt;'Simulateur de retraite'!$B$16,'Simulateur de retraite'!$B$28,0)</f>
        <v>0</v>
      </c>
      <c r="G43" s="17">
        <f t="shared" si="1"/>
        <v>0</v>
      </c>
      <c r="H43" s="18">
        <f>IF(B43&lt;'Simulateur de retraite'!$B$18,G43*((1+'Simulateur de retraite'!$B$4)^(1/2)-1)+I42*'Simulateur de retraite'!$B$4,0)</f>
        <v>0</v>
      </c>
      <c r="I43" s="29">
        <f t="shared" si="2"/>
        <v>7338414.1200618455</v>
      </c>
      <c r="J43" s="17" t="b">
        <f>IF('Simulateur de retraite'!$B$33="Oui",AND('Simulateur de retraite'!$B$35=B43,0&lt;H43))</f>
        <v>0</v>
      </c>
      <c r="K43" s="17">
        <f>IF(AND(J43,'Simulateur de retraite'!$B$23="Oui"),'Simulateur de retraite'!$B$25,0)</f>
        <v>0</v>
      </c>
      <c r="L43" s="18">
        <f t="shared" si="3"/>
        <v>0</v>
      </c>
      <c r="M43" s="29">
        <f t="shared" si="4"/>
        <v>0</v>
      </c>
      <c r="N43" s="31">
        <f>SUM($C$2:C43)*J43</f>
        <v>0</v>
      </c>
    </row>
    <row r="44" spans="1:14" ht="14.25" customHeight="1">
      <c r="A44" s="1">
        <f t="shared" ref="A44:B44" si="45">A43+1</f>
        <v>2068</v>
      </c>
      <c r="B44" s="1">
        <f t="shared" si="45"/>
        <v>62</v>
      </c>
      <c r="C44" s="17">
        <f>IF(B44&lt;'Simulateur de retraite'!$B$16,'Simulateur de retraite'!$B$12+'Simulateur de retraite'!$B$14+'Simulateur de retraite'!$B$20,0)*12</f>
        <v>0</v>
      </c>
      <c r="D44" s="17">
        <f>C44*'Listes et paramètres'!$B$14</f>
        <v>0</v>
      </c>
      <c r="E44" s="17">
        <f>C44*'Listes et paramètres'!$B$15</f>
        <v>0</v>
      </c>
      <c r="F44" s="17">
        <f>IF(B44&lt;'Simulateur de retraite'!$B$16,'Simulateur de retraite'!$B$28,0)</f>
        <v>0</v>
      </c>
      <c r="G44" s="17">
        <f t="shared" si="1"/>
        <v>0</v>
      </c>
      <c r="H44" s="18">
        <f>IF(B44&lt;'Simulateur de retraite'!$B$18,G44*((1+'Simulateur de retraite'!$B$4)^(1/2)-1)+I43*'Simulateur de retraite'!$B$4,0)</f>
        <v>0</v>
      </c>
      <c r="I44" s="29">
        <f t="shared" si="2"/>
        <v>7338414.1200618455</v>
      </c>
      <c r="J44" s="17" t="b">
        <f>IF('Simulateur de retraite'!$B$33="Oui",AND('Simulateur de retraite'!$B$35=B44,0&lt;H44))</f>
        <v>0</v>
      </c>
      <c r="K44" s="17">
        <f>IF(AND(J44,'Simulateur de retraite'!$B$23="Oui"),'Simulateur de retraite'!$B$25,0)</f>
        <v>0</v>
      </c>
      <c r="L44" s="18">
        <f t="shared" si="3"/>
        <v>0</v>
      </c>
      <c r="M44" s="29">
        <f t="shared" si="4"/>
        <v>0</v>
      </c>
      <c r="N44" s="31">
        <f>SUM($C$2:C44)*J44</f>
        <v>0</v>
      </c>
    </row>
    <row r="45" spans="1:14" ht="14.25" customHeight="1">
      <c r="A45" s="1">
        <f t="shared" ref="A45:B45" si="46">A44+1</f>
        <v>2069</v>
      </c>
      <c r="B45" s="1">
        <f t="shared" si="46"/>
        <v>63</v>
      </c>
      <c r="C45" s="17">
        <f>IF(B45&lt;'Simulateur de retraite'!$B$16,'Simulateur de retraite'!$B$12+'Simulateur de retraite'!$B$14+'Simulateur de retraite'!$B$20,0)*12</f>
        <v>0</v>
      </c>
      <c r="D45" s="17">
        <f>C45*'Listes et paramètres'!$B$14</f>
        <v>0</v>
      </c>
      <c r="E45" s="17">
        <f>C45*'Listes et paramètres'!$B$15</f>
        <v>0</v>
      </c>
      <c r="F45" s="17">
        <f>IF(B45&lt;'Simulateur de retraite'!$B$16,'Simulateur de retraite'!$B$28,0)</f>
        <v>0</v>
      </c>
      <c r="G45" s="17">
        <f t="shared" si="1"/>
        <v>0</v>
      </c>
      <c r="H45" s="18">
        <f>IF(B45&lt;'Simulateur de retraite'!$B$18,G45*((1+'Simulateur de retraite'!$B$4)^(1/2)-1)+I44*'Simulateur de retraite'!$B$4,0)</f>
        <v>0</v>
      </c>
      <c r="I45" s="29">
        <f t="shared" si="2"/>
        <v>7338414.1200618455</v>
      </c>
      <c r="J45" s="17" t="b">
        <f>IF('Simulateur de retraite'!$B$33="Oui",AND('Simulateur de retraite'!$B$35=B45,0&lt;H45))</f>
        <v>0</v>
      </c>
      <c r="K45" s="17">
        <f>IF(AND(J45,'Simulateur de retraite'!$B$23="Oui"),'Simulateur de retraite'!$B$25,0)</f>
        <v>0</v>
      </c>
      <c r="L45" s="18">
        <f t="shared" si="3"/>
        <v>0</v>
      </c>
      <c r="M45" s="29">
        <f t="shared" si="4"/>
        <v>0</v>
      </c>
      <c r="N45" s="31">
        <f>SUM($C$2:C45)*J45</f>
        <v>0</v>
      </c>
    </row>
    <row r="46" spans="1:14" ht="14.25" customHeight="1">
      <c r="A46" s="1">
        <f t="shared" ref="A46:B46" si="47">A45+1</f>
        <v>2070</v>
      </c>
      <c r="B46" s="1">
        <f t="shared" si="47"/>
        <v>64</v>
      </c>
      <c r="C46" s="17">
        <f>IF(B46&lt;'Simulateur de retraite'!$B$16,'Simulateur de retraite'!$B$12+'Simulateur de retraite'!$B$14+'Simulateur de retraite'!$B$20,0)*12</f>
        <v>0</v>
      </c>
      <c r="D46" s="17">
        <f>C46*'Listes et paramètres'!$B$14</f>
        <v>0</v>
      </c>
      <c r="E46" s="17">
        <f>C46*'Listes et paramètres'!$B$15</f>
        <v>0</v>
      </c>
      <c r="F46" s="17">
        <f>IF(B46&lt;'Simulateur de retraite'!$B$16,'Simulateur de retraite'!$B$28,0)</f>
        <v>0</v>
      </c>
      <c r="G46" s="17">
        <f t="shared" si="1"/>
        <v>0</v>
      </c>
      <c r="H46" s="18">
        <f>IF(B46&lt;'Simulateur de retraite'!$B$18,G46*((1+'Simulateur de retraite'!$B$4)^(1/2)-1)+I45*'Simulateur de retraite'!$B$4,0)</f>
        <v>0</v>
      </c>
      <c r="I46" s="29">
        <f t="shared" si="2"/>
        <v>7338414.1200618455</v>
      </c>
      <c r="J46" s="17" t="b">
        <f>IF('Simulateur de retraite'!$B$33="Oui",AND('Simulateur de retraite'!$B$35=B46,0&lt;H46))</f>
        <v>0</v>
      </c>
      <c r="K46" s="17">
        <f>IF(AND(J46,'Simulateur de retraite'!$B$23="Oui"),'Simulateur de retraite'!$B$25,0)</f>
        <v>0</v>
      </c>
      <c r="L46" s="18">
        <f t="shared" si="3"/>
        <v>0</v>
      </c>
      <c r="M46" s="29">
        <f t="shared" si="4"/>
        <v>0</v>
      </c>
      <c r="N46" s="31">
        <f>SUM($C$2:C46)*J46</f>
        <v>0</v>
      </c>
    </row>
    <row r="47" spans="1:14" ht="14.25" customHeight="1">
      <c r="A47" s="1">
        <f t="shared" ref="A47:B47" si="48">A46+1</f>
        <v>2071</v>
      </c>
      <c r="B47" s="1">
        <f t="shared" si="48"/>
        <v>65</v>
      </c>
      <c r="C47" s="17">
        <f>IF(B47&lt;'Simulateur de retraite'!$B$16,'Simulateur de retraite'!$B$12+'Simulateur de retraite'!$B$14+'Simulateur de retraite'!$B$20,0)*12</f>
        <v>0</v>
      </c>
      <c r="D47" s="17">
        <f>C47*'Listes et paramètres'!$B$14</f>
        <v>0</v>
      </c>
      <c r="E47" s="17">
        <f>C47*'Listes et paramètres'!$B$15</f>
        <v>0</v>
      </c>
      <c r="F47" s="17">
        <f>IF(B47&lt;'Simulateur de retraite'!$B$16,'Simulateur de retraite'!$B$28,0)</f>
        <v>0</v>
      </c>
      <c r="G47" s="17">
        <f t="shared" si="1"/>
        <v>0</v>
      </c>
      <c r="H47" s="18">
        <f>IF(B47&lt;'Simulateur de retraite'!$B$18,G47*((1+'Simulateur de retraite'!$B$4)^(1/2)-1)+I46*'Simulateur de retraite'!$B$4,0)</f>
        <v>0</v>
      </c>
      <c r="I47" s="29">
        <f t="shared" si="2"/>
        <v>7338414.1200618455</v>
      </c>
      <c r="J47" s="17" t="b">
        <f>IF('Simulateur de retraite'!$B$33="Oui",AND('Simulateur de retraite'!$B$35=B47,0&lt;H47))</f>
        <v>0</v>
      </c>
      <c r="K47" s="17">
        <f>IF(AND(J47,'Simulateur de retraite'!$B$23="Oui"),'Simulateur de retraite'!$B$25,0)</f>
        <v>0</v>
      </c>
      <c r="L47" s="18">
        <f t="shared" si="3"/>
        <v>0</v>
      </c>
      <c r="M47" s="29">
        <f t="shared" si="4"/>
        <v>0</v>
      </c>
      <c r="N47" s="31">
        <f>SUM($C$2:C47)*J47</f>
        <v>0</v>
      </c>
    </row>
    <row r="48" spans="1:14" ht="14.25" customHeight="1">
      <c r="A48" s="1">
        <f t="shared" ref="A48:B48" si="49">A47+1</f>
        <v>2072</v>
      </c>
      <c r="B48" s="1">
        <f t="shared" si="49"/>
        <v>66</v>
      </c>
      <c r="C48" s="17">
        <f>IF(B48&lt;'Simulateur de retraite'!$B$16,'Simulateur de retraite'!$B$12+'Simulateur de retraite'!$B$14+'Simulateur de retraite'!$B$20,0)*12</f>
        <v>0</v>
      </c>
      <c r="D48" s="17">
        <f>C48*'Listes et paramètres'!$B$14</f>
        <v>0</v>
      </c>
      <c r="E48" s="17">
        <f>C48*'Listes et paramètres'!$B$15</f>
        <v>0</v>
      </c>
      <c r="F48" s="17">
        <f>IF(B48&lt;'Simulateur de retraite'!$B$16,'Simulateur de retraite'!$B$28,0)</f>
        <v>0</v>
      </c>
      <c r="G48" s="17">
        <f t="shared" si="1"/>
        <v>0</v>
      </c>
      <c r="H48" s="18">
        <f>IF(B48&lt;'Simulateur de retraite'!$B$18,G48*((1+'Simulateur de retraite'!$B$4)^(1/2)-1)+I47*'Simulateur de retraite'!$B$4,0)</f>
        <v>0</v>
      </c>
      <c r="I48" s="29">
        <f t="shared" si="2"/>
        <v>7338414.1200618455</v>
      </c>
      <c r="J48" s="17" t="b">
        <f>IF('Simulateur de retraite'!$B$33="Oui",AND('Simulateur de retraite'!$B$35=B48,0&lt;H48))</f>
        <v>0</v>
      </c>
      <c r="K48" s="17">
        <f>IF(AND(J48,'Simulateur de retraite'!$B$23="Oui"),'Simulateur de retraite'!$B$25,0)</f>
        <v>0</v>
      </c>
      <c r="L48" s="18">
        <f t="shared" si="3"/>
        <v>0</v>
      </c>
      <c r="M48" s="29">
        <f t="shared" si="4"/>
        <v>0</v>
      </c>
      <c r="N48" s="31">
        <f>SUM($C$2:C48)*J48</f>
        <v>0</v>
      </c>
    </row>
    <row r="49" spans="1:14" ht="14.25" customHeight="1">
      <c r="A49" s="1">
        <f t="shared" ref="A49:B49" si="50">A48+1</f>
        <v>2073</v>
      </c>
      <c r="B49" s="1">
        <f t="shared" si="50"/>
        <v>67</v>
      </c>
      <c r="C49" s="17">
        <f>IF(B49&lt;'Simulateur de retraite'!$B$16,'Simulateur de retraite'!$B$12+'Simulateur de retraite'!$B$14+'Simulateur de retraite'!$B$20,0)*12</f>
        <v>0</v>
      </c>
      <c r="D49" s="17">
        <f>C49*'Listes et paramètres'!$B$14</f>
        <v>0</v>
      </c>
      <c r="E49" s="17">
        <f>C49*'Listes et paramètres'!$B$15</f>
        <v>0</v>
      </c>
      <c r="F49" s="17">
        <f>IF(B49&lt;'Simulateur de retraite'!$B$16,'Simulateur de retraite'!$B$28,0)</f>
        <v>0</v>
      </c>
      <c r="G49" s="17">
        <f t="shared" si="1"/>
        <v>0</v>
      </c>
      <c r="H49" s="18">
        <f>IF(B49&lt;'Simulateur de retraite'!$B$18,G49*((1+'Simulateur de retraite'!$B$4)^(1/2)-1)+I48*'Simulateur de retraite'!$B$4,0)</f>
        <v>0</v>
      </c>
      <c r="I49" s="29">
        <f t="shared" si="2"/>
        <v>7338414.1200618455</v>
      </c>
      <c r="J49" s="17" t="b">
        <f>IF('Simulateur de retraite'!$B$33="Oui",AND('Simulateur de retraite'!$B$35=B49,0&lt;H49))</f>
        <v>0</v>
      </c>
      <c r="K49" s="17">
        <f>IF(AND(J49,'Simulateur de retraite'!$B$23="Oui"),'Simulateur de retraite'!$B$25,0)</f>
        <v>0</v>
      </c>
      <c r="L49" s="18">
        <f t="shared" si="3"/>
        <v>0</v>
      </c>
      <c r="M49" s="29">
        <f t="shared" si="4"/>
        <v>0</v>
      </c>
      <c r="N49" s="31">
        <f>SUM($C$2:C49)*J49</f>
        <v>0</v>
      </c>
    </row>
    <row r="50" spans="1:14" ht="14.25" customHeight="1">
      <c r="A50" s="1">
        <f t="shared" ref="A50:B50" si="51">A49+1</f>
        <v>2074</v>
      </c>
      <c r="B50" s="1">
        <f t="shared" si="51"/>
        <v>68</v>
      </c>
      <c r="C50" s="17">
        <f>IF(B50&lt;'Simulateur de retraite'!$B$16,'Simulateur de retraite'!$B$12+'Simulateur de retraite'!$B$14+'Simulateur de retraite'!$B$20,0)*12</f>
        <v>0</v>
      </c>
      <c r="D50" s="17">
        <f>C50*'Listes et paramètres'!$B$14</f>
        <v>0</v>
      </c>
      <c r="E50" s="17">
        <f>C50*'Listes et paramètres'!$B$15</f>
        <v>0</v>
      </c>
      <c r="F50" s="17">
        <f>IF(B50&lt;'Simulateur de retraite'!$B$16,'Simulateur de retraite'!$B$28,0)</f>
        <v>0</v>
      </c>
      <c r="G50" s="17">
        <f t="shared" si="1"/>
        <v>0</v>
      </c>
      <c r="H50" s="18">
        <f>IF(B50&lt;'Simulateur de retraite'!$B$18,G50*((1+'Simulateur de retraite'!$B$4)^(1/2)-1)+I49*'Simulateur de retraite'!$B$4,0)</f>
        <v>0</v>
      </c>
      <c r="I50" s="29">
        <f t="shared" si="2"/>
        <v>7338414.1200618455</v>
      </c>
      <c r="J50" s="17" t="b">
        <f>IF('Simulateur de retraite'!$B$33="Oui",AND('Simulateur de retraite'!$B$35=B50,0&lt;H50))</f>
        <v>0</v>
      </c>
      <c r="K50" s="17">
        <f>IF(AND(J50,'Simulateur de retraite'!$B$23="Oui"),'Simulateur de retraite'!$B$25,0)</f>
        <v>0</v>
      </c>
      <c r="L50" s="18">
        <f t="shared" si="3"/>
        <v>0</v>
      </c>
      <c r="M50" s="29">
        <f t="shared" si="4"/>
        <v>0</v>
      </c>
      <c r="N50" s="31">
        <f>SUM($C$2:C50)*J50</f>
        <v>0</v>
      </c>
    </row>
    <row r="51" spans="1:14" ht="14.25" customHeight="1">
      <c r="A51" s="1">
        <f t="shared" ref="A51:B51" si="52">A50+1</f>
        <v>2075</v>
      </c>
      <c r="B51" s="1">
        <f t="shared" si="52"/>
        <v>69</v>
      </c>
      <c r="C51" s="17">
        <f>IF(B51&lt;'Simulateur de retraite'!$B$16,'Simulateur de retraite'!$B$12+'Simulateur de retraite'!$B$14+'Simulateur de retraite'!$B$20,0)*12</f>
        <v>0</v>
      </c>
      <c r="D51" s="17">
        <f>C51*'Listes et paramètres'!$B$14</f>
        <v>0</v>
      </c>
      <c r="E51" s="17">
        <f>C51*'Listes et paramètres'!$B$15</f>
        <v>0</v>
      </c>
      <c r="F51" s="17">
        <f>IF(B51&lt;'Simulateur de retraite'!$B$16,'Simulateur de retraite'!$B$28,0)</f>
        <v>0</v>
      </c>
      <c r="G51" s="17">
        <f t="shared" si="1"/>
        <v>0</v>
      </c>
      <c r="H51" s="18">
        <f>IF(B51&lt;'Simulateur de retraite'!$B$18,G51*((1+'Simulateur de retraite'!$B$4)^(1/2)-1)+I50*'Simulateur de retraite'!$B$4,0)</f>
        <v>0</v>
      </c>
      <c r="I51" s="29">
        <f t="shared" si="2"/>
        <v>7338414.1200618455</v>
      </c>
      <c r="J51" s="17" t="b">
        <f>IF('Simulateur de retraite'!$B$33="Oui",AND('Simulateur de retraite'!$B$35=B51,0&lt;H51))</f>
        <v>0</v>
      </c>
      <c r="K51" s="17">
        <f>IF(AND(J51,'Simulateur de retraite'!$B$23="Oui"),'Simulateur de retraite'!$B$25,0)</f>
        <v>0</v>
      </c>
      <c r="L51" s="18">
        <f t="shared" si="3"/>
        <v>0</v>
      </c>
      <c r="M51" s="29">
        <f t="shared" si="4"/>
        <v>0</v>
      </c>
      <c r="N51" s="31">
        <f>SUM($C$2:C51)*J51</f>
        <v>0</v>
      </c>
    </row>
    <row r="52" spans="1:14" ht="14.25" customHeight="1">
      <c r="A52" s="1">
        <f t="shared" ref="A52:B52" si="53">A51+1</f>
        <v>2076</v>
      </c>
      <c r="B52" s="1">
        <f t="shared" si="53"/>
        <v>70</v>
      </c>
      <c r="C52" s="17">
        <f>IF(B52&lt;'Simulateur de retraite'!$B$16,'Simulateur de retraite'!$B$12+'Simulateur de retraite'!$B$14+'Simulateur de retraite'!$B$20,0)*12</f>
        <v>0</v>
      </c>
      <c r="D52" s="17">
        <f>C52*'Listes et paramètres'!$B$14</f>
        <v>0</v>
      </c>
      <c r="E52" s="17">
        <f>C52*'Listes et paramètres'!$B$15</f>
        <v>0</v>
      </c>
      <c r="F52" s="17">
        <f>IF(B52&lt;'Simulateur de retraite'!$B$16,'Simulateur de retraite'!$B$28,0)</f>
        <v>0</v>
      </c>
      <c r="G52" s="17">
        <f t="shared" si="1"/>
        <v>0</v>
      </c>
      <c r="H52" s="18">
        <f>IF(B52&lt;'Simulateur de retraite'!$B$18,G52*((1+'Simulateur de retraite'!$B$4)^(1/2)-1)+I51*'Simulateur de retraite'!$B$4,0)</f>
        <v>0</v>
      </c>
      <c r="I52" s="29">
        <f t="shared" si="2"/>
        <v>7338414.1200618455</v>
      </c>
      <c r="J52" s="17" t="b">
        <f>IF('Simulateur de retraite'!$B$33="Oui",AND('Simulateur de retraite'!$B$35=B52,0&lt;H52))</f>
        <v>0</v>
      </c>
      <c r="K52" s="17">
        <f>IF(AND(J52,'Simulateur de retraite'!$B$23="Oui"),'Simulateur de retraite'!$B$25,0)</f>
        <v>0</v>
      </c>
      <c r="L52" s="18">
        <f t="shared" si="3"/>
        <v>0</v>
      </c>
      <c r="M52" s="29">
        <f t="shared" si="4"/>
        <v>0</v>
      </c>
      <c r="N52" s="31">
        <f>SUM($C$2:C52)*J52</f>
        <v>0</v>
      </c>
    </row>
    <row r="53" spans="1:14" ht="14.25" customHeight="1">
      <c r="A53" s="1">
        <f t="shared" ref="A53:B53" si="54">A52+1</f>
        <v>2077</v>
      </c>
      <c r="B53" s="1">
        <f t="shared" si="54"/>
        <v>71</v>
      </c>
      <c r="C53" s="17">
        <f>IF(B53&lt;'Simulateur de retraite'!$B$16,'Simulateur de retraite'!$B$12+'Simulateur de retraite'!$B$14+'Simulateur de retraite'!$B$20,0)*12</f>
        <v>0</v>
      </c>
      <c r="D53" s="17">
        <f>C53*'Listes et paramètres'!$B$14</f>
        <v>0</v>
      </c>
      <c r="E53" s="17">
        <f>C53*'Listes et paramètres'!$B$15</f>
        <v>0</v>
      </c>
      <c r="F53" s="17">
        <f>IF(B53&lt;'Simulateur de retraite'!$B$16,'Simulateur de retraite'!$B$28,0)</f>
        <v>0</v>
      </c>
      <c r="G53" s="17">
        <f t="shared" si="1"/>
        <v>0</v>
      </c>
      <c r="H53" s="18">
        <f>IF(B53&lt;'Simulateur de retraite'!$B$18,G53*((1+'Simulateur de retraite'!$B$4)^(1/2)-1)+I52*'Simulateur de retraite'!$B$4,0)</f>
        <v>0</v>
      </c>
      <c r="I53" s="29">
        <f t="shared" si="2"/>
        <v>7338414.1200618455</v>
      </c>
      <c r="J53" s="17" t="b">
        <f>IF('Simulateur de retraite'!$B$33="Oui",AND('Simulateur de retraite'!$B$35=B53,0&lt;H53))</f>
        <v>0</v>
      </c>
      <c r="K53" s="17">
        <f>IF(AND(J53,'Simulateur de retraite'!$B$23="Oui"),'Simulateur de retraite'!$B$25,0)</f>
        <v>0</v>
      </c>
      <c r="L53" s="18">
        <f t="shared" si="3"/>
        <v>0</v>
      </c>
      <c r="M53" s="29">
        <f t="shared" si="4"/>
        <v>0</v>
      </c>
      <c r="N53" s="31">
        <f>SUM($C$2:C53)*J53</f>
        <v>0</v>
      </c>
    </row>
    <row r="54" spans="1:14" ht="14.25" customHeight="1">
      <c r="A54" s="1">
        <f t="shared" ref="A54:B54" si="55">A53+1</f>
        <v>2078</v>
      </c>
      <c r="B54" s="1">
        <f t="shared" si="55"/>
        <v>72</v>
      </c>
      <c r="C54" s="17">
        <f>IF(B54&lt;'Simulateur de retraite'!$B$16,'Simulateur de retraite'!$B$12+'Simulateur de retraite'!$B$14+'Simulateur de retraite'!$B$20,0)*12</f>
        <v>0</v>
      </c>
      <c r="D54" s="17">
        <f>C54*'Listes et paramètres'!$B$14</f>
        <v>0</v>
      </c>
      <c r="E54" s="17">
        <f>C54*'Listes et paramètres'!$B$15</f>
        <v>0</v>
      </c>
      <c r="F54" s="17">
        <f>IF(B54&lt;'Simulateur de retraite'!$B$16,'Simulateur de retraite'!$B$28,0)</f>
        <v>0</v>
      </c>
      <c r="G54" s="17">
        <f t="shared" si="1"/>
        <v>0</v>
      </c>
      <c r="H54" s="18">
        <f>IF(B54&lt;'Simulateur de retraite'!$B$18,G54*((1+'Simulateur de retraite'!$B$4)^(1/2)-1)+I53*'Simulateur de retraite'!$B$4,0)</f>
        <v>0</v>
      </c>
      <c r="I54" s="29">
        <f t="shared" si="2"/>
        <v>7338414.1200618455</v>
      </c>
      <c r="J54" s="17" t="b">
        <f>IF('Simulateur de retraite'!$B$33="Oui",AND('Simulateur de retraite'!$B$35=B54,0&lt;H54))</f>
        <v>0</v>
      </c>
      <c r="K54" s="17">
        <f>IF(AND(J54,'Simulateur de retraite'!$B$23="Oui"),'Simulateur de retraite'!$B$25,0)</f>
        <v>0</v>
      </c>
      <c r="L54" s="18">
        <f t="shared" si="3"/>
        <v>0</v>
      </c>
      <c r="M54" s="29">
        <f t="shared" si="4"/>
        <v>0</v>
      </c>
      <c r="N54" s="31">
        <f>SUM($C$2:C54)*J54</f>
        <v>0</v>
      </c>
    </row>
    <row r="55" spans="1:14" ht="14.25" customHeight="1">
      <c r="A55" s="1">
        <f t="shared" ref="A55:B55" si="56">A54+1</f>
        <v>2079</v>
      </c>
      <c r="B55" s="1">
        <f t="shared" si="56"/>
        <v>73</v>
      </c>
      <c r="C55" s="17">
        <f>IF(B55&lt;'Simulateur de retraite'!$B$16,'Simulateur de retraite'!$B$12+'Simulateur de retraite'!$B$14+'Simulateur de retraite'!$B$20,0)*12</f>
        <v>0</v>
      </c>
      <c r="D55" s="17">
        <f>C55*'Listes et paramètres'!$B$14</f>
        <v>0</v>
      </c>
      <c r="E55" s="17">
        <f>C55*'Listes et paramètres'!$B$15</f>
        <v>0</v>
      </c>
      <c r="F55" s="17">
        <f>IF(B55&lt;'Simulateur de retraite'!$B$16,'Simulateur de retraite'!$B$28,0)</f>
        <v>0</v>
      </c>
      <c r="G55" s="17">
        <f t="shared" si="1"/>
        <v>0</v>
      </c>
      <c r="H55" s="18">
        <f>IF(B55&lt;'Simulateur de retraite'!$B$18,G55*((1+'Simulateur de retraite'!$B$4)^(1/2)-1)+I54*'Simulateur de retraite'!$B$4,0)</f>
        <v>0</v>
      </c>
      <c r="I55" s="29">
        <f t="shared" si="2"/>
        <v>7338414.1200618455</v>
      </c>
      <c r="J55" s="17" t="b">
        <f>IF('Simulateur de retraite'!$B$33="Oui",AND('Simulateur de retraite'!$B$35=B55,0&lt;H55))</f>
        <v>0</v>
      </c>
      <c r="K55" s="17">
        <f>IF(AND(J55,'Simulateur de retraite'!$B$23="Oui"),'Simulateur de retraite'!$B$25,0)</f>
        <v>0</v>
      </c>
      <c r="L55" s="18">
        <f t="shared" si="3"/>
        <v>0</v>
      </c>
      <c r="M55" s="29">
        <f t="shared" si="4"/>
        <v>0</v>
      </c>
      <c r="N55" s="31">
        <f>SUM($C$2:C55)*J55</f>
        <v>0</v>
      </c>
    </row>
    <row r="56" spans="1:14" ht="14.25" customHeight="1">
      <c r="A56" s="1">
        <f t="shared" ref="A56:B56" si="57">A55+1</f>
        <v>2080</v>
      </c>
      <c r="B56" s="1">
        <f t="shared" si="57"/>
        <v>74</v>
      </c>
      <c r="C56" s="17">
        <f>IF(B56&lt;'Simulateur de retraite'!$B$16,'Simulateur de retraite'!$B$12+'Simulateur de retraite'!$B$14+'Simulateur de retraite'!$B$20,0)*12</f>
        <v>0</v>
      </c>
      <c r="D56" s="17">
        <f>C56*'Listes et paramètres'!$B$14</f>
        <v>0</v>
      </c>
      <c r="E56" s="17">
        <f>C56*'Listes et paramètres'!$B$15</f>
        <v>0</v>
      </c>
      <c r="F56" s="17">
        <f>IF(B56&lt;'Simulateur de retraite'!$B$16,'Simulateur de retraite'!$B$28,0)</f>
        <v>0</v>
      </c>
      <c r="G56" s="17">
        <f t="shared" si="1"/>
        <v>0</v>
      </c>
      <c r="H56" s="18">
        <f>IF(B56&lt;'Simulateur de retraite'!$B$18,G56*((1+'Simulateur de retraite'!$B$4)^(1/2)-1)+I55*'Simulateur de retraite'!$B$4,0)</f>
        <v>0</v>
      </c>
      <c r="I56" s="29">
        <f t="shared" si="2"/>
        <v>7338414.1200618455</v>
      </c>
      <c r="J56" s="17" t="b">
        <f>IF('Simulateur de retraite'!$B$33="Oui",AND('Simulateur de retraite'!$B$35=B56,0&lt;H56))</f>
        <v>0</v>
      </c>
      <c r="K56" s="17">
        <f>IF(AND(J56,'Simulateur de retraite'!$B$23="Oui"),'Simulateur de retraite'!$B$25,0)</f>
        <v>0</v>
      </c>
      <c r="L56" s="18">
        <f t="shared" si="3"/>
        <v>0</v>
      </c>
      <c r="M56" s="29">
        <f t="shared" si="4"/>
        <v>0</v>
      </c>
      <c r="N56" s="31">
        <f>SUM($C$2:C56)*J56</f>
        <v>0</v>
      </c>
    </row>
    <row r="57" spans="1:14" ht="14.25" customHeight="1">
      <c r="A57" s="1">
        <f t="shared" ref="A57:B57" si="58">A56+1</f>
        <v>2081</v>
      </c>
      <c r="B57" s="1">
        <f t="shared" si="58"/>
        <v>75</v>
      </c>
      <c r="C57" s="17">
        <f>IF(B57&lt;'Simulateur de retraite'!$B$16,'Simulateur de retraite'!$B$12+'Simulateur de retraite'!$B$14+'Simulateur de retraite'!$B$20,0)*12</f>
        <v>0</v>
      </c>
      <c r="D57" s="17">
        <f>C57*'Listes et paramètres'!$B$14</f>
        <v>0</v>
      </c>
      <c r="E57" s="17">
        <f>C57*'Listes et paramètres'!$B$15</f>
        <v>0</v>
      </c>
      <c r="F57" s="17">
        <f>IF(B57&lt;'Simulateur de retraite'!$B$16,'Simulateur de retraite'!$B$28,0)</f>
        <v>0</v>
      </c>
      <c r="G57" s="17">
        <f t="shared" si="1"/>
        <v>0</v>
      </c>
      <c r="H57" s="18">
        <f>IF(B57&lt;'Simulateur de retraite'!$B$18,G57*((1+'Simulateur de retraite'!$B$4)^(1/2)-1)+I56*'Simulateur de retraite'!$B$4,0)</f>
        <v>0</v>
      </c>
      <c r="I57" s="29">
        <f t="shared" si="2"/>
        <v>7338414.1200618455</v>
      </c>
      <c r="J57" s="17" t="b">
        <f>IF('Simulateur de retraite'!$B$33="Oui",AND('Simulateur de retraite'!$B$35=B57,0&lt;H57))</f>
        <v>0</v>
      </c>
      <c r="K57" s="17">
        <f>IF(AND(J57,'Simulateur de retraite'!$B$23="Oui"),'Simulateur de retraite'!$B$25,0)</f>
        <v>0</v>
      </c>
      <c r="L57" s="18">
        <f t="shared" si="3"/>
        <v>0</v>
      </c>
      <c r="M57" s="29">
        <f t="shared" si="4"/>
        <v>0</v>
      </c>
      <c r="N57" s="31">
        <f>SUM($C$2:C57)*J57</f>
        <v>0</v>
      </c>
    </row>
    <row r="58" spans="1:14" ht="14.25" customHeight="1">
      <c r="A58" s="1">
        <f t="shared" ref="A58:B58" si="59">A57+1</f>
        <v>2082</v>
      </c>
      <c r="B58" s="1">
        <f t="shared" si="59"/>
        <v>76</v>
      </c>
      <c r="C58" s="17">
        <f>IF(B58&lt;'Simulateur de retraite'!$B$16,'Simulateur de retraite'!$B$12+'Simulateur de retraite'!$B$14+'Simulateur de retraite'!$B$20,0)*12</f>
        <v>0</v>
      </c>
      <c r="D58" s="17">
        <f>C58*'Listes et paramètres'!$B$14</f>
        <v>0</v>
      </c>
      <c r="E58" s="17">
        <f>C58*'Listes et paramètres'!$B$15</f>
        <v>0</v>
      </c>
      <c r="F58" s="17">
        <f>IF(B58&lt;'Simulateur de retraite'!$B$16,'Simulateur de retraite'!$B$28,0)</f>
        <v>0</v>
      </c>
      <c r="G58" s="17">
        <f t="shared" si="1"/>
        <v>0</v>
      </c>
      <c r="H58" s="18">
        <f>IF(B58&lt;'Simulateur de retraite'!$B$18,G58*((1+'Simulateur de retraite'!$B$4)^(1/2)-1)+I57*'Simulateur de retraite'!$B$4,0)</f>
        <v>0</v>
      </c>
      <c r="I58" s="29">
        <f t="shared" si="2"/>
        <v>7338414.1200618455</v>
      </c>
      <c r="J58" s="17" t="b">
        <f>IF('Simulateur de retraite'!$B$33="Oui",AND('Simulateur de retraite'!$B$35=B58,0&lt;H58))</f>
        <v>0</v>
      </c>
      <c r="K58" s="17">
        <f>IF(AND(J58,'Simulateur de retraite'!$B$23="Oui"),'Simulateur de retraite'!$B$25,0)</f>
        <v>0</v>
      </c>
      <c r="L58" s="18">
        <f t="shared" si="3"/>
        <v>0</v>
      </c>
      <c r="M58" s="29">
        <f t="shared" si="4"/>
        <v>0</v>
      </c>
      <c r="N58" s="31">
        <f>SUM($C$2:C58)*J58</f>
        <v>0</v>
      </c>
    </row>
    <row r="59" spans="1:14" ht="14.25" customHeight="1">
      <c r="A59" s="1">
        <f t="shared" ref="A59:B59" si="60">A58+1</f>
        <v>2083</v>
      </c>
      <c r="B59" s="1">
        <f t="shared" si="60"/>
        <v>77</v>
      </c>
      <c r="C59" s="17">
        <f>IF(B59&lt;'Simulateur de retraite'!$B$16,'Simulateur de retraite'!$B$12+'Simulateur de retraite'!$B$14+'Simulateur de retraite'!$B$20,0)*12</f>
        <v>0</v>
      </c>
      <c r="D59" s="17">
        <f>C59*'Listes et paramètres'!$B$14</f>
        <v>0</v>
      </c>
      <c r="E59" s="17">
        <f>C59*'Listes et paramètres'!$B$15</f>
        <v>0</v>
      </c>
      <c r="F59" s="17">
        <f>IF(B59&lt;'Simulateur de retraite'!$B$16,'Simulateur de retraite'!$B$28,0)</f>
        <v>0</v>
      </c>
      <c r="G59" s="17">
        <f t="shared" si="1"/>
        <v>0</v>
      </c>
      <c r="H59" s="18">
        <f>IF(B59&lt;'Simulateur de retraite'!$B$18,G59*((1+'Simulateur de retraite'!$B$4)^(1/2)-1)+I58*'Simulateur de retraite'!$B$4,0)</f>
        <v>0</v>
      </c>
      <c r="I59" s="29">
        <f t="shared" si="2"/>
        <v>7338414.1200618455</v>
      </c>
      <c r="J59" s="17" t="b">
        <f>IF('Simulateur de retraite'!$B$33="Oui",AND('Simulateur de retraite'!$B$35=B59,0&lt;H59))</f>
        <v>0</v>
      </c>
      <c r="K59" s="17">
        <f>IF(AND(J59,'Simulateur de retraite'!$B$23="Oui"),'Simulateur de retraite'!$B$25,0)</f>
        <v>0</v>
      </c>
      <c r="L59" s="18">
        <f t="shared" si="3"/>
        <v>0</v>
      </c>
      <c r="M59" s="29">
        <f t="shared" si="4"/>
        <v>0</v>
      </c>
      <c r="N59" s="31">
        <f>SUM($C$2:C59)*J59</f>
        <v>0</v>
      </c>
    </row>
    <row r="60" spans="1:14" ht="14.25" customHeight="1">
      <c r="A60" s="1">
        <f t="shared" ref="A60:B60" si="61">A59+1</f>
        <v>2084</v>
      </c>
      <c r="B60" s="1">
        <f t="shared" si="61"/>
        <v>78</v>
      </c>
      <c r="C60" s="17">
        <f>IF(B60&lt;'Simulateur de retraite'!$B$16,'Simulateur de retraite'!$B$12+'Simulateur de retraite'!$B$14+'Simulateur de retraite'!$B$20,0)*12</f>
        <v>0</v>
      </c>
      <c r="D60" s="17">
        <f>C60*'Listes et paramètres'!$B$14</f>
        <v>0</v>
      </c>
      <c r="E60" s="17">
        <f>C60*'Listes et paramètres'!$B$15</f>
        <v>0</v>
      </c>
      <c r="F60" s="17">
        <f>IF(B60&lt;'Simulateur de retraite'!$B$16,'Simulateur de retraite'!$B$28,0)</f>
        <v>0</v>
      </c>
      <c r="G60" s="17">
        <f t="shared" si="1"/>
        <v>0</v>
      </c>
      <c r="H60" s="18">
        <f>IF(B60&lt;'Simulateur de retraite'!$B$18,G60*((1+'Simulateur de retraite'!$B$4)^(1/2)-1)+I59*'Simulateur de retraite'!$B$4,0)</f>
        <v>0</v>
      </c>
      <c r="I60" s="29">
        <f t="shared" si="2"/>
        <v>7338414.1200618455</v>
      </c>
      <c r="J60" s="17" t="b">
        <f>IF('Simulateur de retraite'!$B$33="Oui",AND('Simulateur de retraite'!$B$35=B60,0&lt;H60))</f>
        <v>0</v>
      </c>
      <c r="K60" s="17">
        <f>IF(AND(J60,'Simulateur de retraite'!$B$23="Oui"),'Simulateur de retraite'!$B$25,0)</f>
        <v>0</v>
      </c>
      <c r="L60" s="18">
        <f t="shared" si="3"/>
        <v>0</v>
      </c>
      <c r="M60" s="29">
        <f t="shared" si="4"/>
        <v>0</v>
      </c>
      <c r="N60" s="31">
        <f>SUM($C$2:C60)*J60</f>
        <v>0</v>
      </c>
    </row>
    <row r="61" spans="1:14" ht="14.25" customHeight="1">
      <c r="A61" s="1">
        <f t="shared" ref="A61:B61" si="62">A60+1</f>
        <v>2085</v>
      </c>
      <c r="B61" s="1">
        <f t="shared" si="62"/>
        <v>79</v>
      </c>
      <c r="C61" s="17">
        <f>IF(B61&lt;'Simulateur de retraite'!$B$16,'Simulateur de retraite'!$B$12+'Simulateur de retraite'!$B$14+'Simulateur de retraite'!$B$20,0)*12</f>
        <v>0</v>
      </c>
      <c r="D61" s="17">
        <f>C61*'Listes et paramètres'!$B$14</f>
        <v>0</v>
      </c>
      <c r="E61" s="17">
        <f>C61*'Listes et paramètres'!$B$15</f>
        <v>0</v>
      </c>
      <c r="F61" s="17">
        <f>IF(B61&lt;'Simulateur de retraite'!$B$16,'Simulateur de retraite'!$B$28,0)</f>
        <v>0</v>
      </c>
      <c r="G61" s="17">
        <f t="shared" si="1"/>
        <v>0</v>
      </c>
      <c r="H61" s="18">
        <f>IF(B61&lt;'Simulateur de retraite'!$B$18,G61*((1+'Simulateur de retraite'!$B$4)^(1/2)-1)+I60*'Simulateur de retraite'!$B$4,0)</f>
        <v>0</v>
      </c>
      <c r="I61" s="29">
        <f t="shared" si="2"/>
        <v>7338414.1200618455</v>
      </c>
      <c r="J61" s="17" t="b">
        <f>IF('Simulateur de retraite'!$B$33="Oui",AND('Simulateur de retraite'!$B$35=B61,0&lt;H61))</f>
        <v>0</v>
      </c>
      <c r="K61" s="17">
        <f>IF(AND(J61,'Simulateur de retraite'!$B$23="Oui"),'Simulateur de retraite'!$B$25,0)</f>
        <v>0</v>
      </c>
      <c r="L61" s="18">
        <f t="shared" si="3"/>
        <v>0</v>
      </c>
      <c r="M61" s="29">
        <f t="shared" si="4"/>
        <v>0</v>
      </c>
      <c r="N61" s="31">
        <f>SUM($C$2:C61)*J61</f>
        <v>0</v>
      </c>
    </row>
    <row r="62" spans="1:14" ht="14.25" customHeight="1">
      <c r="A62" s="1">
        <f t="shared" ref="A62:B62" si="63">A61+1</f>
        <v>2086</v>
      </c>
      <c r="B62" s="1">
        <f t="shared" si="63"/>
        <v>80</v>
      </c>
      <c r="C62" s="17">
        <f>IF(B62&lt;'Simulateur de retraite'!$B$16,'Simulateur de retraite'!$B$12+'Simulateur de retraite'!$B$14+'Simulateur de retraite'!$B$20,0)*12</f>
        <v>0</v>
      </c>
      <c r="D62" s="17">
        <f>C62*'Listes et paramètres'!$B$14</f>
        <v>0</v>
      </c>
      <c r="E62" s="17">
        <f>C62*'Listes et paramètres'!$B$15</f>
        <v>0</v>
      </c>
      <c r="F62" s="17">
        <f>IF(B62&lt;'Simulateur de retraite'!$B$16,'Simulateur de retraite'!$B$28,0)</f>
        <v>0</v>
      </c>
      <c r="G62" s="17">
        <f t="shared" si="1"/>
        <v>0</v>
      </c>
      <c r="H62" s="18">
        <f>IF(B62&lt;'Simulateur de retraite'!$B$18,G62*((1+'Simulateur de retraite'!$B$4)^(1/2)-1)+I61*'Simulateur de retraite'!$B$4,0)</f>
        <v>0</v>
      </c>
      <c r="I62" s="29">
        <f t="shared" si="2"/>
        <v>7338414.1200618455</v>
      </c>
      <c r="J62" s="17" t="b">
        <f>IF('Simulateur de retraite'!$B$33="Oui",AND('Simulateur de retraite'!$B$35=B62,0&lt;H62))</f>
        <v>0</v>
      </c>
      <c r="K62" s="17">
        <f>IF(AND(J62,'Simulateur de retraite'!$B$23="Oui"),'Simulateur de retraite'!$B$25,0)</f>
        <v>0</v>
      </c>
      <c r="L62" s="18">
        <f t="shared" si="3"/>
        <v>0</v>
      </c>
      <c r="M62" s="29">
        <f t="shared" si="4"/>
        <v>0</v>
      </c>
      <c r="N62" s="31">
        <f>SUM($C$2:C62)*J62</f>
        <v>0</v>
      </c>
    </row>
    <row r="63" spans="1:14" ht="14.25" customHeight="1">
      <c r="A63" s="1">
        <f t="shared" ref="A63:B63" si="64">A62+1</f>
        <v>2087</v>
      </c>
      <c r="B63" s="1">
        <f t="shared" si="64"/>
        <v>81</v>
      </c>
      <c r="C63" s="17">
        <f>IF(B63&lt;'Simulateur de retraite'!$B$16,'Simulateur de retraite'!$B$12+'Simulateur de retraite'!$B$14+'Simulateur de retraite'!$B$20,0)*12</f>
        <v>0</v>
      </c>
      <c r="D63" s="17">
        <f>C63*'Listes et paramètres'!$B$14</f>
        <v>0</v>
      </c>
      <c r="E63" s="17">
        <f>C63*'Listes et paramètres'!$B$15</f>
        <v>0</v>
      </c>
      <c r="F63" s="17">
        <f>IF(B63&lt;'Simulateur de retraite'!$B$16,'Simulateur de retraite'!$B$28,0)</f>
        <v>0</v>
      </c>
      <c r="G63" s="17">
        <f t="shared" si="1"/>
        <v>0</v>
      </c>
      <c r="H63" s="18">
        <f>IF(B63&lt;'Simulateur de retraite'!$B$18,G63*((1+'Simulateur de retraite'!$B$4)^(1/2)-1)+I62*'Simulateur de retraite'!$B$4,0)</f>
        <v>0</v>
      </c>
      <c r="I63" s="29">
        <f t="shared" si="2"/>
        <v>7338414.1200618455</v>
      </c>
      <c r="J63" s="17" t="b">
        <f>IF('Simulateur de retraite'!$B$33="Oui",AND('Simulateur de retraite'!$B$35=B63,0&lt;H63))</f>
        <v>0</v>
      </c>
      <c r="K63" s="17">
        <f>IF(AND(J63,'Simulateur de retraite'!$B$23="Oui"),'Simulateur de retraite'!$B$25,0)</f>
        <v>0</v>
      </c>
      <c r="L63" s="18">
        <f t="shared" si="3"/>
        <v>0</v>
      </c>
      <c r="M63" s="29">
        <f t="shared" si="4"/>
        <v>0</v>
      </c>
      <c r="N63" s="31">
        <f>SUM($C$2:C63)*J63</f>
        <v>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zoomScale="60" zoomScaleNormal="60" workbookViewId="0">
      <selection activeCell="A89" sqref="A89"/>
    </sheetView>
  </sheetViews>
  <sheetFormatPr baseColWidth="10" defaultColWidth="12.54296875" defaultRowHeight="15" customHeight="1"/>
  <cols>
    <col min="1" max="1" width="33.1796875" bestFit="1" customWidth="1"/>
    <col min="2" max="2" width="26.54296875" customWidth="1"/>
    <col min="3" max="3" width="22.1796875" bestFit="1" customWidth="1"/>
    <col min="4" max="4" width="20.453125" customWidth="1"/>
    <col min="5" max="5" width="26.26953125" customWidth="1"/>
    <col min="6" max="7" width="27.26953125" customWidth="1"/>
    <col min="8" max="8" width="27.81640625" bestFit="1" customWidth="1"/>
    <col min="9" max="25" width="10.54296875" customWidth="1"/>
  </cols>
  <sheetData>
    <row r="1" spans="1:8" ht="14.25" customHeight="1">
      <c r="A1" s="101" t="s">
        <v>86</v>
      </c>
      <c r="B1" s="98"/>
      <c r="C1" s="98"/>
      <c r="D1" s="98"/>
      <c r="E1" s="98"/>
      <c r="F1" s="98"/>
      <c r="G1" s="98"/>
    </row>
    <row r="2" spans="1:8" ht="14.25" customHeight="1"/>
    <row r="3" spans="1:8" ht="14.25" customHeight="1">
      <c r="A3" s="1" t="s">
        <v>73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69</v>
      </c>
    </row>
    <row r="4" spans="1:8" ht="14.25" customHeight="1">
      <c r="A4" s="34" t="s">
        <v>41</v>
      </c>
      <c r="B4" s="36"/>
      <c r="C4" s="36">
        <v>15000</v>
      </c>
      <c r="D4" s="36">
        <v>241.09343309238437</v>
      </c>
      <c r="E4" s="37">
        <v>55.202404432189184</v>
      </c>
      <c r="F4" s="37">
        <v>101.68134771016452</v>
      </c>
      <c r="G4" s="37">
        <v>140.81537077415911</v>
      </c>
      <c r="H4" s="37">
        <v>173.76516810526513</v>
      </c>
    </row>
    <row r="5" spans="1:8" ht="14.25" customHeight="1">
      <c r="A5" s="34" t="s">
        <v>98</v>
      </c>
      <c r="B5" s="36"/>
      <c r="C5" s="36">
        <v>20000</v>
      </c>
      <c r="D5" s="36">
        <v>207.8730461354167</v>
      </c>
      <c r="E5" s="37">
        <v>55.202404432189184</v>
      </c>
      <c r="F5" s="37">
        <v>101.68134771016452</v>
      </c>
      <c r="G5" s="37">
        <v>140.81537077415911</v>
      </c>
      <c r="H5" s="37">
        <v>173.76516810526513</v>
      </c>
    </row>
    <row r="6" spans="1:8" ht="14.25" customHeight="1">
      <c r="A6" s="34" t="s">
        <v>102</v>
      </c>
      <c r="B6" s="36"/>
      <c r="C6" s="36">
        <v>30000</v>
      </c>
      <c r="D6" s="36">
        <v>204.12218449551534</v>
      </c>
      <c r="E6" s="37">
        <v>55.202404432189184</v>
      </c>
      <c r="F6" s="37">
        <v>101.68134771016452</v>
      </c>
      <c r="G6" s="37">
        <v>140.81537077415911</v>
      </c>
      <c r="H6" s="37">
        <v>173.76516810526513</v>
      </c>
    </row>
    <row r="7" spans="1:8" ht="14.25" customHeight="1">
      <c r="A7" s="34" t="s">
        <v>93</v>
      </c>
      <c r="B7" s="36"/>
      <c r="C7" s="36">
        <v>35000</v>
      </c>
      <c r="D7" s="36">
        <v>200.30381359741614</v>
      </c>
      <c r="E7" s="37">
        <v>55.202404432189184</v>
      </c>
      <c r="F7" s="37">
        <v>101.68134771016452</v>
      </c>
      <c r="G7" s="37">
        <v>140.81537077415911</v>
      </c>
      <c r="H7" s="37">
        <v>173.76516810526513</v>
      </c>
    </row>
    <row r="8" spans="1:8" ht="14.25" customHeight="1">
      <c r="A8" s="34" t="s">
        <v>92</v>
      </c>
      <c r="B8" s="36"/>
      <c r="C8" s="36">
        <v>45000</v>
      </c>
      <c r="D8" s="36">
        <v>196.43301511881455</v>
      </c>
      <c r="E8" s="37">
        <v>55.202404432189184</v>
      </c>
      <c r="F8" s="37">
        <v>101.68134771016452</v>
      </c>
      <c r="G8" s="37">
        <v>140.81537077415911</v>
      </c>
      <c r="H8" s="37">
        <v>173.76516810526513</v>
      </c>
    </row>
    <row r="9" spans="1:8" ht="14.25" customHeight="1">
      <c r="A9" s="34" t="s">
        <v>42</v>
      </c>
      <c r="B9" s="36"/>
      <c r="C9" s="36">
        <v>45000</v>
      </c>
      <c r="D9" s="36">
        <v>196.43301511881455</v>
      </c>
      <c r="E9" s="37">
        <v>55.202404432189184</v>
      </c>
      <c r="F9" s="37">
        <v>101.68134771016452</v>
      </c>
      <c r="G9" s="37">
        <v>140.81537077415911</v>
      </c>
      <c r="H9" s="37">
        <v>173.76516810526513</v>
      </c>
    </row>
    <row r="10" spans="1:8" ht="14.25" customHeight="1"/>
    <row r="11" spans="1:8" ht="14.25" customHeight="1">
      <c r="A11" s="101" t="s">
        <v>7</v>
      </c>
      <c r="B11" s="98"/>
      <c r="C11" s="98"/>
      <c r="D11" s="98"/>
      <c r="E11" s="98"/>
      <c r="F11" s="98"/>
      <c r="G11" s="98"/>
    </row>
    <row r="12" spans="1:8" ht="14.25" customHeight="1"/>
    <row r="13" spans="1:8" ht="14.25" customHeight="1">
      <c r="A13" s="1" t="s">
        <v>8</v>
      </c>
      <c r="B13" s="2">
        <v>3.5000000000000003E-2</v>
      </c>
    </row>
    <row r="14" spans="1:8" ht="14.25" customHeight="1">
      <c r="A14" s="1" t="s">
        <v>9</v>
      </c>
      <c r="B14" s="3">
        <v>0.02</v>
      </c>
    </row>
    <row r="15" spans="1:8" ht="14.25" customHeight="1">
      <c r="A15" s="1" t="s">
        <v>10</v>
      </c>
      <c r="B15" s="3">
        <v>0.01</v>
      </c>
    </row>
    <row r="16" spans="1:8" ht="14.25" customHeight="1">
      <c r="A16" s="1" t="s">
        <v>11</v>
      </c>
      <c r="B16" s="3">
        <f>1-B14-B15</f>
        <v>0.97</v>
      </c>
    </row>
    <row r="19" spans="1:7" ht="14.25" customHeight="1">
      <c r="A19" s="101" t="s">
        <v>49</v>
      </c>
      <c r="B19" s="98"/>
      <c r="C19" s="98"/>
      <c r="D19" s="98"/>
      <c r="E19" s="98"/>
      <c r="F19" s="98"/>
      <c r="G19" s="98"/>
    </row>
    <row r="20" spans="1:7" ht="14.25" customHeight="1"/>
    <row r="21" spans="1:7" ht="14.25" customHeight="1"/>
    <row r="22" spans="1:7" ht="14.25" customHeight="1"/>
    <row r="23" spans="1:7" ht="14.25" customHeight="1">
      <c r="A23">
        <v>3.7747930847119573E-3</v>
      </c>
      <c r="B23" s="26" t="s">
        <v>50</v>
      </c>
      <c r="C23" s="26" t="s">
        <v>52</v>
      </c>
    </row>
    <row r="24" spans="1:7" ht="14.25" customHeight="1">
      <c r="B24" s="32">
        <v>1000000</v>
      </c>
      <c r="C24" s="32">
        <f>ROUNDUP(B24*$A$23/100,0)*100</f>
        <v>3800</v>
      </c>
      <c r="D24" s="33"/>
    </row>
    <row r="25" spans="1:7" ht="14.25" customHeight="1">
      <c r="B25" s="32">
        <v>2000000</v>
      </c>
      <c r="C25" s="32">
        <f t="shared" ref="C25:C28" si="0">ROUNDUP(B25*$A$23/100,0)*100</f>
        <v>7600</v>
      </c>
      <c r="D25" s="33"/>
    </row>
    <row r="26" spans="1:7" ht="14.25" customHeight="1">
      <c r="B26" s="32">
        <v>3000000</v>
      </c>
      <c r="C26" s="32">
        <f t="shared" si="0"/>
        <v>11400</v>
      </c>
      <c r="D26" s="33"/>
    </row>
    <row r="27" spans="1:7" ht="14.25" customHeight="1">
      <c r="B27" s="32">
        <v>4000000</v>
      </c>
      <c r="C27" s="32">
        <f t="shared" si="0"/>
        <v>15100</v>
      </c>
      <c r="D27" s="33"/>
    </row>
    <row r="28" spans="1:7" ht="14.25" customHeight="1">
      <c r="B28" s="32">
        <v>5000000</v>
      </c>
      <c r="C28" s="32">
        <f t="shared" si="0"/>
        <v>18900</v>
      </c>
      <c r="D28" s="33"/>
    </row>
    <row r="34" spans="1:7" ht="14.25" customHeight="1">
      <c r="A34" s="101" t="s">
        <v>94</v>
      </c>
      <c r="B34" s="98"/>
      <c r="C34" s="98"/>
      <c r="D34" s="98"/>
      <c r="E34" s="98"/>
      <c r="F34" s="98"/>
      <c r="G34" s="98"/>
    </row>
    <row r="35" spans="1:7" ht="14.25" customHeight="1"/>
    <row r="36" spans="1:7" ht="14.25" customHeight="1"/>
    <row r="37" spans="1:7" ht="14.25" customHeight="1">
      <c r="A37" s="71" t="s">
        <v>0</v>
      </c>
      <c r="B37" s="71" t="s">
        <v>73</v>
      </c>
      <c r="C37" s="71" t="s">
        <v>89</v>
      </c>
    </row>
    <row r="38" spans="1:7" ht="14.25" customHeight="1">
      <c r="A38" s="72" t="s">
        <v>74</v>
      </c>
      <c r="B38" s="73" t="s">
        <v>41</v>
      </c>
      <c r="C38" s="73">
        <v>46</v>
      </c>
    </row>
    <row r="39" spans="1:7" ht="14.25" customHeight="1">
      <c r="A39" s="72" t="s">
        <v>95</v>
      </c>
      <c r="B39" s="73" t="s">
        <v>41</v>
      </c>
      <c r="C39" s="73">
        <v>46</v>
      </c>
    </row>
    <row r="40" spans="1:7" ht="14.25" customHeight="1">
      <c r="A40" s="72" t="s">
        <v>121</v>
      </c>
      <c r="B40" s="73" t="s">
        <v>41</v>
      </c>
      <c r="C40" s="73">
        <v>46</v>
      </c>
    </row>
    <row r="41" spans="1:7" ht="14.25" customHeight="1">
      <c r="A41" s="72" t="s">
        <v>96</v>
      </c>
      <c r="B41" s="73" t="s">
        <v>41</v>
      </c>
      <c r="C41" s="73">
        <v>46</v>
      </c>
    </row>
    <row r="42" spans="1:7" ht="14.25" customHeight="1">
      <c r="A42" s="72" t="s">
        <v>88</v>
      </c>
      <c r="B42" s="73" t="s">
        <v>41</v>
      </c>
      <c r="C42" s="73">
        <v>47</v>
      </c>
    </row>
    <row r="43" spans="1:7" ht="14.25" customHeight="1">
      <c r="A43" s="72" t="s">
        <v>114</v>
      </c>
      <c r="B43" s="73" t="s">
        <v>41</v>
      </c>
      <c r="C43" s="73">
        <v>47</v>
      </c>
    </row>
    <row r="44" spans="1:7" ht="14.25" customHeight="1">
      <c r="A44" s="72" t="s">
        <v>97</v>
      </c>
      <c r="B44" s="73" t="s">
        <v>98</v>
      </c>
      <c r="C44" s="73">
        <v>55</v>
      </c>
    </row>
    <row r="45" spans="1:7" ht="14.25" customHeight="1">
      <c r="A45" s="72" t="s">
        <v>99</v>
      </c>
      <c r="B45" s="73" t="s">
        <v>98</v>
      </c>
      <c r="C45" s="73">
        <v>55</v>
      </c>
    </row>
    <row r="46" spans="1:7" ht="14.25" customHeight="1">
      <c r="A46" s="72" t="s">
        <v>97</v>
      </c>
      <c r="B46" s="73" t="s">
        <v>98</v>
      </c>
      <c r="C46" s="73">
        <v>57</v>
      </c>
    </row>
    <row r="47" spans="1:7" ht="14.25" customHeight="1">
      <c r="A47" s="72" t="s">
        <v>99</v>
      </c>
      <c r="B47" s="73" t="s">
        <v>98</v>
      </c>
      <c r="C47" s="73">
        <v>57</v>
      </c>
    </row>
    <row r="48" spans="1:7" ht="14.25" customHeight="1">
      <c r="A48" s="72" t="s">
        <v>100</v>
      </c>
      <c r="B48" s="73" t="s">
        <v>98</v>
      </c>
      <c r="C48" s="73">
        <v>57</v>
      </c>
    </row>
    <row r="49" spans="1:3" ht="14.25" customHeight="1">
      <c r="A49" s="72" t="s">
        <v>122</v>
      </c>
      <c r="B49" s="73" t="s">
        <v>98</v>
      </c>
      <c r="C49" s="73">
        <v>57</v>
      </c>
    </row>
    <row r="50" spans="1:3" ht="14.25" customHeight="1">
      <c r="A50" s="72" t="s">
        <v>101</v>
      </c>
      <c r="B50" s="73" t="s">
        <v>102</v>
      </c>
      <c r="C50" s="73">
        <v>58</v>
      </c>
    </row>
    <row r="51" spans="1:3" ht="14.25" customHeight="1">
      <c r="A51" s="72" t="s">
        <v>103</v>
      </c>
      <c r="B51" s="73" t="s">
        <v>102</v>
      </c>
      <c r="C51" s="73">
        <v>58</v>
      </c>
    </row>
    <row r="52" spans="1:3" ht="14.25" customHeight="1">
      <c r="A52" s="72" t="s">
        <v>104</v>
      </c>
      <c r="B52" s="73" t="s">
        <v>102</v>
      </c>
      <c r="C52" s="73">
        <v>58</v>
      </c>
    </row>
    <row r="53" spans="1:3" ht="14.25" customHeight="1">
      <c r="A53" s="72" t="s">
        <v>101</v>
      </c>
      <c r="B53" s="73" t="s">
        <v>102</v>
      </c>
      <c r="C53" s="73">
        <v>58</v>
      </c>
    </row>
    <row r="54" spans="1:3" ht="14.25" customHeight="1">
      <c r="A54" s="72" t="s">
        <v>105</v>
      </c>
      <c r="B54" s="73" t="s">
        <v>102</v>
      </c>
      <c r="C54" s="73">
        <v>58</v>
      </c>
    </row>
    <row r="55" spans="1:3" ht="14.25" customHeight="1">
      <c r="A55" s="72" t="s">
        <v>106</v>
      </c>
      <c r="B55" s="73" t="s">
        <v>102</v>
      </c>
      <c r="C55" s="73">
        <v>58</v>
      </c>
    </row>
    <row r="56" spans="1:3" ht="14.25" customHeight="1">
      <c r="A56" s="72" t="s">
        <v>107</v>
      </c>
      <c r="B56" s="73" t="s">
        <v>93</v>
      </c>
      <c r="C56" s="73">
        <v>59</v>
      </c>
    </row>
    <row r="57" spans="1:3" ht="14.25" customHeight="1">
      <c r="A57" s="72" t="s">
        <v>108</v>
      </c>
      <c r="B57" s="73" t="s">
        <v>93</v>
      </c>
      <c r="C57" s="73">
        <v>59</v>
      </c>
    </row>
    <row r="58" spans="1:3" ht="14.25" customHeight="1">
      <c r="A58" s="72" t="s">
        <v>109</v>
      </c>
      <c r="B58" s="73" t="s">
        <v>93</v>
      </c>
      <c r="C58" s="73">
        <v>59</v>
      </c>
    </row>
    <row r="59" spans="1:3" ht="14.25" customHeight="1">
      <c r="A59" s="72" t="s">
        <v>123</v>
      </c>
      <c r="B59" s="73" t="s">
        <v>93</v>
      </c>
      <c r="C59" s="73">
        <v>59</v>
      </c>
    </row>
    <row r="60" spans="1:3" ht="14.25" customHeight="1">
      <c r="A60" s="72" t="s">
        <v>124</v>
      </c>
      <c r="B60" s="73" t="s">
        <v>93</v>
      </c>
      <c r="C60" s="73">
        <v>59</v>
      </c>
    </row>
    <row r="61" spans="1:3" ht="14.25" customHeight="1">
      <c r="A61" s="72" t="s">
        <v>125</v>
      </c>
      <c r="B61" s="73" t="s">
        <v>93</v>
      </c>
      <c r="C61" s="73">
        <v>59</v>
      </c>
    </row>
    <row r="62" spans="1:3" ht="14.25" customHeight="1">
      <c r="A62" s="72" t="s">
        <v>110</v>
      </c>
      <c r="B62" s="73" t="s">
        <v>42</v>
      </c>
      <c r="C62" s="73">
        <v>60</v>
      </c>
    </row>
    <row r="63" spans="1:3" ht="14.25" customHeight="1">
      <c r="A63" s="72" t="s">
        <v>111</v>
      </c>
      <c r="B63" s="73" t="s">
        <v>42</v>
      </c>
      <c r="C63" s="73">
        <v>60</v>
      </c>
    </row>
    <row r="64" spans="1:3" ht="14.25" customHeight="1">
      <c r="A64" s="72" t="s">
        <v>112</v>
      </c>
      <c r="B64" s="73" t="s">
        <v>42</v>
      </c>
      <c r="C64" s="73">
        <v>60</v>
      </c>
    </row>
    <row r="65" spans="1:3" ht="14.25" customHeight="1">
      <c r="A65" s="72" t="s">
        <v>126</v>
      </c>
      <c r="B65" s="73" t="s">
        <v>42</v>
      </c>
      <c r="C65" s="73">
        <v>60</v>
      </c>
    </row>
    <row r="66" spans="1:3" ht="14.25" customHeight="1">
      <c r="A66" s="72" t="s">
        <v>127</v>
      </c>
      <c r="B66" s="73" t="s">
        <v>42</v>
      </c>
      <c r="C66" s="73">
        <v>60</v>
      </c>
    </row>
    <row r="67" spans="1:3" ht="14.25" customHeight="1">
      <c r="A67" s="72" t="s">
        <v>128</v>
      </c>
      <c r="B67" s="73" t="s">
        <v>42</v>
      </c>
      <c r="C67" s="73">
        <v>60</v>
      </c>
    </row>
    <row r="68" spans="1:3" ht="14.25" customHeight="1">
      <c r="A68" s="72" t="s">
        <v>84</v>
      </c>
      <c r="B68" s="73" t="s">
        <v>92</v>
      </c>
      <c r="C68" s="73">
        <v>61</v>
      </c>
    </row>
    <row r="69" spans="1:3" ht="14.25" customHeight="1">
      <c r="A69" s="72" t="s">
        <v>85</v>
      </c>
      <c r="B69" s="73" t="s">
        <v>92</v>
      </c>
      <c r="C69" s="73">
        <v>61</v>
      </c>
    </row>
    <row r="70" spans="1:3" ht="14.25" customHeight="1">
      <c r="A70" s="72" t="s">
        <v>87</v>
      </c>
      <c r="B70" s="73" t="s">
        <v>92</v>
      </c>
      <c r="C70" s="73">
        <v>61</v>
      </c>
    </row>
    <row r="71" spans="1:3" ht="14.25" customHeight="1">
      <c r="A71" s="72" t="s">
        <v>83</v>
      </c>
      <c r="B71" s="73" t="s">
        <v>92</v>
      </c>
      <c r="C71" s="73">
        <v>61</v>
      </c>
    </row>
    <row r="72" spans="1:3" ht="14.25" customHeight="1">
      <c r="A72" s="72" t="s">
        <v>85</v>
      </c>
      <c r="B72" s="73" t="s">
        <v>92</v>
      </c>
      <c r="C72" s="73">
        <v>61</v>
      </c>
    </row>
    <row r="73" spans="1:3" ht="14.25" customHeight="1">
      <c r="A73" s="72" t="s">
        <v>113</v>
      </c>
      <c r="B73" s="73" t="s">
        <v>92</v>
      </c>
      <c r="C73" s="73">
        <v>61</v>
      </c>
    </row>
    <row r="74" spans="1:3" ht="14.25" customHeight="1">
      <c r="A74" s="72" t="s">
        <v>75</v>
      </c>
      <c r="B74" s="73" t="s">
        <v>92</v>
      </c>
      <c r="C74" s="73">
        <v>62</v>
      </c>
    </row>
    <row r="75" spans="1:3" ht="14.25" customHeight="1">
      <c r="A75" s="72" t="s">
        <v>76</v>
      </c>
      <c r="B75" s="73" t="s">
        <v>92</v>
      </c>
      <c r="C75" s="73">
        <v>62</v>
      </c>
    </row>
    <row r="76" spans="1:3" ht="14.25" customHeight="1">
      <c r="A76" s="72" t="s">
        <v>77</v>
      </c>
      <c r="B76" s="73" t="s">
        <v>92</v>
      </c>
      <c r="C76" s="73">
        <v>62</v>
      </c>
    </row>
    <row r="77" spans="1:3" ht="14.25" customHeight="1">
      <c r="A77" s="72" t="s">
        <v>78</v>
      </c>
      <c r="B77" s="73" t="s">
        <v>92</v>
      </c>
      <c r="C77" s="73">
        <v>62</v>
      </c>
    </row>
    <row r="78" spans="1:3" ht="14.25" customHeight="1">
      <c r="A78" s="72" t="s">
        <v>79</v>
      </c>
      <c r="B78" s="73" t="s">
        <v>92</v>
      </c>
      <c r="C78" s="73">
        <v>62</v>
      </c>
    </row>
    <row r="79" spans="1:3" ht="14.25" customHeight="1">
      <c r="A79" s="72" t="s">
        <v>80</v>
      </c>
      <c r="B79" s="73" t="s">
        <v>92</v>
      </c>
      <c r="C79" s="73">
        <v>62</v>
      </c>
    </row>
    <row r="80" spans="1:3" ht="14.25" customHeight="1">
      <c r="A80" s="72" t="s">
        <v>81</v>
      </c>
      <c r="B80" s="73" t="s">
        <v>92</v>
      </c>
      <c r="C80" s="73">
        <v>62</v>
      </c>
    </row>
    <row r="81" spans="1:3" ht="14.25" customHeight="1">
      <c r="A81" s="72" t="s">
        <v>82</v>
      </c>
      <c r="B81" s="73" t="s">
        <v>92</v>
      </c>
      <c r="C81" s="73">
        <v>62</v>
      </c>
    </row>
    <row r="82" spans="1:3" ht="14.25" customHeight="1">
      <c r="A82" s="72" t="s">
        <v>83</v>
      </c>
      <c r="B82" s="73" t="s">
        <v>92</v>
      </c>
      <c r="C82" s="73">
        <v>62</v>
      </c>
    </row>
    <row r="83" spans="1:3" ht="14.25" customHeight="1">
      <c r="A83" s="72" t="s">
        <v>76</v>
      </c>
      <c r="B83" s="73" t="s">
        <v>92</v>
      </c>
      <c r="C83" s="73">
        <v>62</v>
      </c>
    </row>
    <row r="84" spans="1:3" ht="14.25" customHeight="1">
      <c r="A84" s="72" t="s">
        <v>77</v>
      </c>
      <c r="B84" s="73" t="s">
        <v>92</v>
      </c>
      <c r="C84" s="73">
        <v>62</v>
      </c>
    </row>
    <row r="85" spans="1:3" ht="14.25" customHeight="1">
      <c r="A85" s="72" t="s">
        <v>78</v>
      </c>
      <c r="B85" s="73" t="s">
        <v>92</v>
      </c>
      <c r="C85" s="73">
        <v>62</v>
      </c>
    </row>
    <row r="86" spans="1:3" ht="14.25" customHeight="1">
      <c r="A86" s="72" t="s">
        <v>79</v>
      </c>
      <c r="B86" s="73" t="s">
        <v>92</v>
      </c>
      <c r="C86" s="73">
        <v>62</v>
      </c>
    </row>
    <row r="87" spans="1:3" ht="14.25" customHeight="1">
      <c r="A87" s="72" t="s">
        <v>80</v>
      </c>
      <c r="B87" s="73" t="s">
        <v>92</v>
      </c>
      <c r="C87" s="73">
        <v>62</v>
      </c>
    </row>
    <row r="88" spans="1:3" ht="14.25" customHeight="1">
      <c r="A88" s="72" t="s">
        <v>81</v>
      </c>
      <c r="B88" s="73" t="s">
        <v>92</v>
      </c>
      <c r="C88" s="73">
        <v>62</v>
      </c>
    </row>
    <row r="89" spans="1:3" ht="14.25" customHeight="1">
      <c r="A89" s="72" t="s">
        <v>82</v>
      </c>
      <c r="B89" s="73" t="s">
        <v>92</v>
      </c>
      <c r="C89" s="73">
        <v>62</v>
      </c>
    </row>
  </sheetData>
  <sortState xmlns:xlrd2="http://schemas.microsoft.com/office/spreadsheetml/2017/richdata2" ref="A38:C89">
    <sortCondition ref="A38:A89"/>
  </sortState>
  <mergeCells count="4">
    <mergeCell ref="A1:G1"/>
    <mergeCell ref="A11:G11"/>
    <mergeCell ref="A19:G19"/>
    <mergeCell ref="A34:G3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Simulateur de retraite</vt:lpstr>
      <vt:lpstr>resume calculs</vt:lpstr>
      <vt:lpstr>Calculs</vt:lpstr>
      <vt:lpstr>Listes et paramètres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saip sy</dc:creator>
  <cp:lastModifiedBy>saip sy</cp:lastModifiedBy>
  <dcterms:created xsi:type="dcterms:W3CDTF">2025-08-26T22:55:49Z</dcterms:created>
  <dcterms:modified xsi:type="dcterms:W3CDTF">2026-01-05T20:43:46Z</dcterms:modified>
</cp:coreProperties>
</file>